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imon Dennis\Google Drive\Documents\Projects\Sustainable Wells\Footprinting\"/>
    </mc:Choice>
  </mc:AlternateContent>
  <bookViews>
    <workbookView xWindow="7875" yWindow="0" windowWidth="18075" windowHeight="10680"/>
  </bookViews>
  <sheets>
    <sheet name="Calculator" sheetId="4" r:id="rId1"/>
    <sheet name="Figures"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5" i="4" l="1"/>
  <c r="E34" i="4" l="1"/>
  <c r="F34" i="4"/>
  <c r="F5" i="4" s="1"/>
  <c r="F49" i="2" l="1"/>
  <c r="C3" i="2" l="1"/>
  <c r="B12" i="4" l="1"/>
  <c r="C12" i="4"/>
  <c r="F44" i="2" l="1"/>
  <c r="F45" i="2" s="1"/>
  <c r="F43" i="2"/>
  <c r="F39" i="2"/>
  <c r="F41" i="2" s="1"/>
  <c r="F40" i="2" l="1"/>
  <c r="E82" i="4"/>
  <c r="E81" i="4"/>
  <c r="E80" i="4"/>
  <c r="F80" i="4"/>
  <c r="F55" i="2"/>
  <c r="F75" i="4"/>
  <c r="E35" i="4"/>
  <c r="E32" i="4"/>
  <c r="G27" i="4" l="1"/>
  <c r="D28" i="4"/>
  <c r="F13" i="4"/>
  <c r="F62" i="4"/>
  <c r="F61" i="4"/>
  <c r="F60" i="4"/>
  <c r="F81" i="4"/>
  <c r="F33" i="4" l="1"/>
  <c r="F32" i="4"/>
  <c r="F31" i="4"/>
  <c r="F30" i="4"/>
  <c r="F29" i="4"/>
  <c r="F4" i="4" l="1"/>
  <c r="G29" i="4"/>
  <c r="B14" i="4"/>
  <c r="B5" i="4"/>
  <c r="B4" i="4"/>
  <c r="B6" i="4"/>
  <c r="B8" i="4"/>
  <c r="B9" i="4"/>
  <c r="B10" i="4"/>
  <c r="B11" i="4"/>
  <c r="B13" i="4"/>
  <c r="B7" i="4"/>
  <c r="E14" i="4"/>
  <c r="C4" i="4"/>
  <c r="C6" i="4"/>
  <c r="C7" i="4"/>
  <c r="C8" i="4"/>
  <c r="C9" i="4"/>
  <c r="C10" i="4"/>
  <c r="C11" i="4"/>
  <c r="C13" i="4"/>
  <c r="C5" i="4"/>
  <c r="C12" i="2"/>
  <c r="C14" i="4" s="1"/>
  <c r="B86" i="4"/>
  <c r="G28" i="4"/>
  <c r="G34" i="4"/>
  <c r="G80" i="4"/>
  <c r="G81" i="4"/>
  <c r="G82" i="4"/>
  <c r="G79" i="4"/>
  <c r="G42" i="4"/>
  <c r="G41" i="4"/>
  <c r="G39" i="4"/>
  <c r="B87" i="4"/>
  <c r="B88" i="4"/>
  <c r="B85" i="4"/>
  <c r="C82" i="4"/>
  <c r="F82" i="4" s="1"/>
  <c r="D80" i="4"/>
  <c r="D81" i="4"/>
  <c r="D82" i="4"/>
  <c r="D79" i="4"/>
  <c r="F11" i="4" l="1"/>
  <c r="F51" i="2" l="1"/>
  <c r="F6" i="4" s="1"/>
  <c r="D35" i="4"/>
  <c r="B35" i="4"/>
  <c r="E67" i="4" l="1"/>
  <c r="E66" i="4"/>
  <c r="E46" i="4" l="1"/>
  <c r="F74" i="4"/>
  <c r="F73" i="4" s="1"/>
  <c r="F72" i="4" s="1"/>
  <c r="F71" i="4" s="1"/>
  <c r="F70" i="4" s="1"/>
  <c r="F69" i="4" s="1"/>
  <c r="E73" i="4"/>
  <c r="E71" i="4"/>
  <c r="E70" i="4"/>
  <c r="E69" i="4"/>
  <c r="E68" i="4"/>
  <c r="E72" i="4"/>
  <c r="E74" i="4"/>
  <c r="E75" i="4"/>
  <c r="E45" i="4"/>
  <c r="E60" i="4"/>
  <c r="E59" i="4"/>
  <c r="D73" i="4"/>
  <c r="D67" i="4"/>
  <c r="F52" i="4" l="1"/>
  <c r="F53" i="4"/>
  <c r="F54" i="4"/>
  <c r="F55" i="4"/>
  <c r="F56" i="4"/>
  <c r="F57" i="4"/>
  <c r="F58" i="4"/>
  <c r="F59" i="4"/>
  <c r="F51" i="4"/>
  <c r="F47" i="4"/>
  <c r="F46" i="4"/>
  <c r="F45" i="4"/>
  <c r="E52" i="4"/>
  <c r="E53" i="4"/>
  <c r="E54" i="4"/>
  <c r="E55" i="4"/>
  <c r="E56" i="4"/>
  <c r="E57" i="4"/>
  <c r="E58" i="4"/>
  <c r="E51" i="4"/>
  <c r="E62" i="4"/>
  <c r="F108" i="2"/>
  <c r="E61" i="4" s="1"/>
  <c r="F104" i="2"/>
  <c r="F102" i="2"/>
  <c r="F89" i="2"/>
  <c r="E47" i="4"/>
  <c r="E30" i="4"/>
  <c r="E31" i="4"/>
  <c r="F62" i="2"/>
  <c r="F57" i="2"/>
  <c r="F34" i="2" l="1"/>
  <c r="F36" i="2" s="1"/>
  <c r="F31" i="2"/>
  <c r="F24" i="2"/>
  <c r="F27" i="2" s="1"/>
  <c r="F23" i="2" l="1"/>
  <c r="F26" i="2"/>
  <c r="F22" i="2"/>
  <c r="F25" i="2"/>
  <c r="E29" i="4"/>
  <c r="B82" i="4"/>
  <c r="B81" i="4"/>
  <c r="B80" i="4"/>
  <c r="B79" i="4"/>
  <c r="B75" i="4"/>
  <c r="B74" i="4"/>
  <c r="B73" i="4"/>
  <c r="B72" i="4"/>
  <c r="B71" i="4"/>
  <c r="B70" i="4"/>
  <c r="B69" i="4"/>
  <c r="B68" i="4"/>
  <c r="B67" i="4"/>
  <c r="B66" i="4"/>
  <c r="B62" i="4"/>
  <c r="B61" i="4"/>
  <c r="B60" i="4"/>
  <c r="B59" i="4"/>
  <c r="B58" i="4"/>
  <c r="B57" i="4"/>
  <c r="B56" i="4"/>
  <c r="B55" i="4"/>
  <c r="B54" i="4"/>
  <c r="B53" i="4"/>
  <c r="B52" i="4"/>
  <c r="B51" i="4"/>
  <c r="B49" i="4"/>
  <c r="B48" i="4"/>
  <c r="B47" i="4"/>
  <c r="B46" i="4"/>
  <c r="B45" i="4"/>
  <c r="B44" i="4"/>
  <c r="B43" i="4"/>
  <c r="B41" i="4"/>
  <c r="B39" i="4"/>
  <c r="B40" i="4"/>
  <c r="B42" i="4"/>
  <c r="B33" i="4"/>
  <c r="B32" i="4"/>
  <c r="B31" i="4"/>
  <c r="B30" i="4"/>
  <c r="B29" i="4"/>
  <c r="B34" i="4"/>
  <c r="B28" i="4"/>
  <c r="B27" i="4"/>
  <c r="F106" i="2" l="1"/>
  <c r="F110" i="2"/>
  <c r="F85" i="2" l="1"/>
  <c r="D189" i="2"/>
  <c r="F71" i="2"/>
  <c r="F67" i="2"/>
  <c r="E44" i="4" l="1"/>
  <c r="F44" i="4"/>
  <c r="F8" i="4" s="1"/>
  <c r="F43" i="4"/>
  <c r="E43" i="4"/>
  <c r="F54" i="2"/>
  <c r="F53" i="2"/>
  <c r="E39" i="4" l="1"/>
  <c r="F42" i="4"/>
  <c r="F7" i="4" s="1"/>
  <c r="E42" i="4"/>
  <c r="E40" i="4"/>
  <c r="E41" i="4"/>
  <c r="F161" i="2"/>
  <c r="G161" i="2" s="1"/>
  <c r="H161" i="2" s="1"/>
  <c r="F162" i="2"/>
  <c r="G162" i="2" s="1"/>
  <c r="H162" i="2" s="1"/>
  <c r="F163" i="2"/>
  <c r="G163" i="2" s="1"/>
  <c r="H163" i="2" s="1"/>
  <c r="F160" i="2"/>
  <c r="G160" i="2" s="1"/>
  <c r="H160" i="2" s="1"/>
  <c r="E33" i="4" l="1"/>
  <c r="F50" i="2" l="1"/>
  <c r="D188" i="2" l="1"/>
  <c r="F188" i="2" s="1"/>
  <c r="D187" i="2"/>
  <c r="F187" i="2" s="1"/>
  <c r="D186" i="2"/>
  <c r="F186" i="2" s="1"/>
  <c r="D185" i="2"/>
  <c r="F185" i="2" s="1"/>
  <c r="F180" i="2"/>
  <c r="F179" i="2"/>
  <c r="F178" i="2"/>
  <c r="F177" i="2"/>
  <c r="F176" i="2"/>
  <c r="F175" i="2"/>
  <c r="F174" i="2"/>
  <c r="F173" i="2"/>
  <c r="F172" i="2"/>
  <c r="F171" i="2"/>
  <c r="F170" i="2"/>
  <c r="F169" i="2"/>
  <c r="F87" i="2" s="1"/>
  <c r="F48" i="4" l="1"/>
  <c r="E48" i="4"/>
  <c r="F181" i="2"/>
  <c r="F91" i="2" s="1"/>
  <c r="E49" i="4" l="1"/>
  <c r="F49" i="4"/>
  <c r="F9" i="4" s="1"/>
  <c r="F182" i="2"/>
  <c r="F68" i="4"/>
  <c r="F67" i="4" s="1"/>
  <c r="F66" i="4" s="1"/>
  <c r="F10" i="4" l="1"/>
  <c r="F14" i="4" s="1"/>
</calcChain>
</file>

<file path=xl/sharedStrings.xml><?xml version="1.0" encoding="utf-8"?>
<sst xmlns="http://schemas.openxmlformats.org/spreadsheetml/2006/main" count="943" uniqueCount="320">
  <si>
    <t>Type</t>
  </si>
  <si>
    <t xml:space="preserve">Question </t>
  </si>
  <si>
    <t xml:space="preserve">Section </t>
  </si>
  <si>
    <t>Detail</t>
  </si>
  <si>
    <t>Note</t>
  </si>
  <si>
    <t>Transport</t>
  </si>
  <si>
    <t>Electricity</t>
  </si>
  <si>
    <t>Heating</t>
  </si>
  <si>
    <t>Food</t>
  </si>
  <si>
    <t>Public Transport</t>
  </si>
  <si>
    <t>Personal Transport</t>
  </si>
  <si>
    <t>Source</t>
  </si>
  <si>
    <t>Diet</t>
  </si>
  <si>
    <t>Waste</t>
  </si>
  <si>
    <t>Eating Out</t>
  </si>
  <si>
    <t>Stuff</t>
  </si>
  <si>
    <t>General</t>
  </si>
  <si>
    <t>Marshal, 2007</t>
  </si>
  <si>
    <t>Sub-section</t>
  </si>
  <si>
    <t>Flights &amp; Cruises</t>
  </si>
  <si>
    <t>Variable</t>
  </si>
  <si>
    <t>Value</t>
  </si>
  <si>
    <t xml:space="preserve">Flight Proxy: </t>
  </si>
  <si>
    <t>Destination</t>
  </si>
  <si>
    <t>Tonnes CO2e</t>
  </si>
  <si>
    <t>Hours</t>
  </si>
  <si>
    <t>tonnes/hour</t>
  </si>
  <si>
    <t>Short haul</t>
  </si>
  <si>
    <t>Eastern Europe</t>
  </si>
  <si>
    <t>East Africa</t>
  </si>
  <si>
    <t>Middle East</t>
  </si>
  <si>
    <t>East Coast USA</t>
  </si>
  <si>
    <t>India</t>
  </si>
  <si>
    <t>West Coast USA</t>
  </si>
  <si>
    <t>East Asia</t>
  </si>
  <si>
    <t>South Africa</t>
  </si>
  <si>
    <t>Japan</t>
  </si>
  <si>
    <t>Australia</t>
  </si>
  <si>
    <t>New Zealand</t>
  </si>
  <si>
    <t xml:space="preserve">Average: </t>
  </si>
  <si>
    <t xml:space="preserve">Ferry proxy: </t>
  </si>
  <si>
    <t>Route</t>
  </si>
  <si>
    <t>Distance (km)</t>
  </si>
  <si>
    <t>Portsmouth - Santander</t>
  </si>
  <si>
    <t>Quite possibly more as half way to a cruise ship</t>
  </si>
  <si>
    <t>0.007 gives a simple answer within 0.1 tonne / trip</t>
  </si>
  <si>
    <t>Marshal, 2007 for CO2e and Google Flights for flight times</t>
  </si>
  <si>
    <t>Government</t>
  </si>
  <si>
    <t>Note for improvement</t>
  </si>
  <si>
    <t>About normal</t>
  </si>
  <si>
    <t>kWh</t>
  </si>
  <si>
    <t>m2</t>
  </si>
  <si>
    <t>How much do you use from any other onsite renewables?</t>
  </si>
  <si>
    <r>
      <t xml:space="preserve">Berners-Lee, M., (2010).  </t>
    </r>
    <r>
      <rPr>
        <i/>
        <sz val="11"/>
        <color theme="1"/>
        <rFont val="Calibri"/>
        <family val="2"/>
        <scheme val="minor"/>
      </rPr>
      <t>How bad are Bananas?</t>
    </r>
    <r>
      <rPr>
        <sz val="11"/>
        <color theme="1"/>
        <rFont val="Calibri"/>
        <family val="2"/>
        <scheme val="minor"/>
      </rPr>
      <t xml:space="preserve">  London: Profile Books</t>
    </r>
  </si>
  <si>
    <t>Petrol</t>
  </si>
  <si>
    <t>Diesel</t>
  </si>
  <si>
    <t>hours per week</t>
  </si>
  <si>
    <t>miles per year</t>
  </si>
  <si>
    <t>hours per year</t>
  </si>
  <si>
    <t>km per year</t>
  </si>
  <si>
    <t>%</t>
  </si>
  <si>
    <t>https://www.uswitch.com/gas-electricity/results</t>
  </si>
  <si>
    <t>Unit</t>
  </si>
  <si>
    <t>Marshal, 2007 and Berners-Lee, 2010</t>
  </si>
  <si>
    <t>Direct + embedded emissions</t>
  </si>
  <si>
    <t>https://en.wikipedia.org/wiki/Energy_density</t>
  </si>
  <si>
    <t>https://www.boilerjuice.com/heating-oil-prices/</t>
  </si>
  <si>
    <t>Berners-Lee figure used as understood to include embedded as well as direct emissions - 10 % more than typical and Marshall figures</t>
  </si>
  <si>
    <t>Adjusted to allow for embedded emissions from Berners-Lee kWh figure</t>
  </si>
  <si>
    <t xml:space="preserve">Wood fuel proxy: </t>
  </si>
  <si>
    <t>Thermal efficiency (%)</t>
  </si>
  <si>
    <t>Bio DH &lt; 1 MW</t>
  </si>
  <si>
    <t>82–83</t>
  </si>
  <si>
    <t>Bio DH 1 &lt; 10 MW</t>
  </si>
  <si>
    <t>85–86</t>
  </si>
  <si>
    <t>Bio DH 10 &lt; 20 MW</t>
  </si>
  <si>
    <t>89–91</t>
  </si>
  <si>
    <t>Bio DH 20 &lt; 50 MW</t>
  </si>
  <si>
    <t>91–93</t>
  </si>
  <si>
    <t>Bio DH &gt; 50 MW</t>
  </si>
  <si>
    <t>93–95</t>
  </si>
  <si>
    <t>Stoves, old, partial load</t>
  </si>
  <si>
    <t>Stoves, old, nominal load</t>
  </si>
  <si>
    <t>Stoves, new, partial load</t>
  </si>
  <si>
    <t>Stoves, new, nominal load</t>
  </si>
  <si>
    <t>Attributed harvest (1000 dry t year−1)</t>
  </si>
  <si>
    <t>Heat output (GWh year−1)</t>
  </si>
  <si>
    <t>https://www.nature.com/articles/s41598-018-21559-8</t>
  </si>
  <si>
    <t>Greenhouse effect (kgCO2e/kWh)</t>
  </si>
  <si>
    <t>kWh/dry tonne</t>
  </si>
  <si>
    <t>Greenhouse effect (kgCO2e/dry tonne)</t>
  </si>
  <si>
    <t>https://www.nature.com/articles/s41598-018-21559-9</t>
  </si>
  <si>
    <t>https://www.nature.com/articles/s41598-018-21559-10</t>
  </si>
  <si>
    <t>https://www.nature.com/articles/s41598-018-21559-11</t>
  </si>
  <si>
    <t>https://www.nature.com/articles/s41598-018-21559-12</t>
  </si>
  <si>
    <t>https://www.nature.com/articles/s41598-018-21559-13</t>
  </si>
  <si>
    <t>https://www.nature.com/articles/s41598-018-21559-14</t>
  </si>
  <si>
    <t>https://www.nature.com/articles/s41598-018-21559-15</t>
  </si>
  <si>
    <t>https://www.nature.com/articles/s41598-018-21559-16</t>
  </si>
  <si>
    <t>Greenhouse effect (kgCO2e/20 % mc seasoned tonne)</t>
  </si>
  <si>
    <r>
      <t xml:space="preserve">Arvesen, A. et al., (2018).  </t>
    </r>
    <r>
      <rPr>
        <i/>
        <sz val="11"/>
        <color theme="1"/>
        <rFont val="Calibri"/>
        <family val="2"/>
        <scheme val="minor"/>
      </rPr>
      <t>Cooling aerosols and changes in albedo counteract warming from CO2 and black carbon from forest bioenergy in Norway</t>
    </r>
    <r>
      <rPr>
        <sz val="11"/>
        <color theme="1"/>
        <rFont val="Calibri"/>
        <family val="2"/>
        <scheme val="minor"/>
      </rPr>
      <t>.  Online: Nature</t>
    </r>
  </si>
  <si>
    <t>http://researchbriefings.files.parliament.uk/documents/POST-PN-0523/POST-PN-0523.pdf</t>
  </si>
  <si>
    <t>Google</t>
  </si>
  <si>
    <t>https://en.wikipedia.org/wiki/Life-cycle_greenhouse-gas_emissions_of_energy_sources</t>
  </si>
  <si>
    <t>kgCO2e/km</t>
  </si>
  <si>
    <t>Average</t>
  </si>
  <si>
    <t>Marshal, 2007 for CO2e and Google Flights</t>
  </si>
  <si>
    <t>This may be an underestimate based on 'tail pipe' emissions alone, forgetting embedded and other operational emissions</t>
  </si>
  <si>
    <t>tubes</t>
  </si>
  <si>
    <t>Hours (return)</t>
  </si>
  <si>
    <t>Taken from Carbon Detox</t>
  </si>
  <si>
    <t>Calculated based on emissions from Carbon Detox and flight times from Google Flights.  See bottom of page for details</t>
  </si>
  <si>
    <t>Another that may be higher than you would sometimes be lead to believe.  These figures includes radiative forcing effect of burning fuels at altitude which the IPCC estimate to have an effect 2.8 times greater than the CO2 alone.  They are also for economy seats.  Double your input figure for business class and multiply by 4 for first class travel</t>
  </si>
  <si>
    <t>days per year</t>
  </si>
  <si>
    <t>http://www.brittany-ferries.co.uk/ferry-routes/ferries-france/portsmouth-cherbourg/high-speed-ferry and Google Earth</t>
  </si>
  <si>
    <t>Most normal cross channel ferries seem to average 29 - 36 km/h</t>
  </si>
  <si>
    <t>gCO2/km</t>
  </si>
  <si>
    <t>kWh/km</t>
  </si>
  <si>
    <t>MPG</t>
  </si>
  <si>
    <t>Yes</t>
  </si>
  <si>
    <t>No</t>
  </si>
  <si>
    <t>Nearly all</t>
  </si>
  <si>
    <t>Very little</t>
  </si>
  <si>
    <t>Rarely</t>
  </si>
  <si>
    <t>Half the time</t>
  </si>
  <si>
    <t>-</t>
  </si>
  <si>
    <t>1. How many people live in your home?</t>
  </si>
  <si>
    <t>2. What fuel economy do you get?</t>
  </si>
  <si>
    <t>5. How much do you cycle?</t>
  </si>
  <si>
    <t>6. How much do you travel by train?</t>
  </si>
  <si>
    <t>7. How much do you travel by underground or metro?</t>
  </si>
  <si>
    <t>8. How much do you travel by bus?</t>
  </si>
  <si>
    <t>9. How much do you travel by long distance bus or coach?</t>
  </si>
  <si>
    <t>10. How much do you travel by short-haul flight?</t>
  </si>
  <si>
    <t>11. How much do you travel by long-haul flight?</t>
  </si>
  <si>
    <t>21. How much do you travel by slow ferries?</t>
  </si>
  <si>
    <t>22. How much do you travel by fast ferries?</t>
  </si>
  <si>
    <t>23. How much do you travel by liner or cruise ship?</t>
  </si>
  <si>
    <t>2. What percentage of your diet is Organic?</t>
  </si>
  <si>
    <t>3. Do you eat meat that is not Organic but is free range?</t>
  </si>
  <si>
    <t>4. Do you ever eat beef or lamb?</t>
  </si>
  <si>
    <t>7. Do you eat all leftovers and never throw away edible food?</t>
  </si>
  <si>
    <t>8. What percentage of your food waste do you compost?</t>
  </si>
  <si>
    <t>10. How often do you have takeaways?</t>
  </si>
  <si>
    <t>4. Percentage do you spend on 'standard' spending (see notes)</t>
  </si>
  <si>
    <t>HOME</t>
  </si>
  <si>
    <t>TRAVEL</t>
  </si>
  <si>
    <t>FOOD</t>
  </si>
  <si>
    <t>STUFF</t>
  </si>
  <si>
    <t>TOTAL</t>
  </si>
  <si>
    <t>Please choose</t>
  </si>
  <si>
    <t>Notes</t>
  </si>
  <si>
    <t>This number is used to divide your household footprint in to a 'per person' figure.  Remember that any action you take to reduce any of these household figures has the added benefit of reducing the footprint of the other people who live there as well as your own</t>
  </si>
  <si>
    <t xml:space="preserve">   12. How many flights do you take short-haul (e.g. UK, Paris Amsterdam)?</t>
  </si>
  <si>
    <t xml:space="preserve">   14. How many to the Middle East or East Africa?</t>
  </si>
  <si>
    <t xml:space="preserve">   15. How many to East Coast USA?</t>
  </si>
  <si>
    <t xml:space="preserve">   16. How many to India?</t>
  </si>
  <si>
    <t xml:space="preserve">   17. How many to West Coast USA?</t>
  </si>
  <si>
    <t xml:space="preserve">   18. How many to East Asia, South Africa or Japan?</t>
  </si>
  <si>
    <t xml:space="preserve">   19. How many to Australia?</t>
  </si>
  <si>
    <t xml:space="preserve">   20. How many to New Zealand?</t>
  </si>
  <si>
    <t>The maths</t>
  </si>
  <si>
    <t>Answers</t>
  </si>
  <si>
    <t>Units</t>
  </si>
  <si>
    <t>Footprint</t>
  </si>
  <si>
    <t>Probably no allowance for embedded emissions and a bit of an under estimate</t>
  </si>
  <si>
    <t>UK Government GHG Conversion Factors for Company Reporting 2017</t>
  </si>
  <si>
    <t>UK Government GHG Conversion Factors for Company Reporting 2017 and https://www.ons.gov.uk/economy/inflationandpriceindices/timeseries/czmo</t>
  </si>
  <si>
    <t>Arvesen et al, 2018, Berners-Lee, 2010, UK Government GHG Conversion Factors for Company Reporting 2017 and http://researchbriefings.files.parliament.uk/documents/POST-PN-0523/POST-PN-0523.pdf</t>
  </si>
  <si>
    <t>Arvesen et al, 2018, Berners-Lee 2010, UK Government GHG Conversion Factors for Company Reporting 2017, http://researchbriefings.files.parliament.uk/documents/POST-PN-0523/POST-PN-0523.pdf and https://www.woodfuel.coop/faq/wood-briquettes-vs-logs/guide-logs/</t>
  </si>
  <si>
    <t>Real life reports seem to be 280 - 330 kWh / m2 / year.  May be out by a factor of 2 but unimportant as overall figure is very small</t>
  </si>
  <si>
    <t>Approximation based on a tube being 0.1 m2.  May be out by a factor of 2 but unimportant as overall figure is very small</t>
  </si>
  <si>
    <t>3. How many people are in it on average?</t>
  </si>
  <si>
    <t>MPG - Miles Per Gallon</t>
  </si>
  <si>
    <t>UK Government GHG Conversion Factors for Company Reporting 2017, Berners-Lee, 2010 and http://shrinkthatfootprint.com/electric-car-emissions</t>
  </si>
  <si>
    <t>Official gCO2/km figures are for the tailpipe only.  The calculated figure here is double to allow for the embodied emissions of producing the fuel and getting it to your vehicle, and for the emissions embodied in the manufacture of the vehicle itself</t>
  </si>
  <si>
    <t>Berners-Lee, 2010</t>
  </si>
  <si>
    <t>For example if there is 1 person half the time and about 2 people the other half enter 1.5</t>
  </si>
  <si>
    <t xml:space="preserve">A higher figure than you normally see, but whilst burning a litre of petrol will release 2.7 kgCO2e/l, another 1/3 will have been released getting it out of the ground to you.  Berners-Lee estimates that once the embodied emissions of the vehicle, its operation and road network are included, the original figure will have roughly doubled.  Seems reasonable in that other figures suggest c. 0.6 kgCO2e/l for embedded fuel emissions and 0.7 kgCO2e/l for vehicle manufacturing emissions (based on 8 tCO2e spread over 200,000 km at 50 MPG), i.e. other operating emissions would have to come to 1.1 - 1.4 kgCO2e/l.  </t>
  </si>
  <si>
    <t xml:space="preserve">A higher figure than you normally see, but whilst burning a litre of petrol will release 2.3 kgCO2e/l, another 1/3 will have been released getting it out of the ground to you.  Berners-Lee estimates that once the embodied emissions of the vehicle, its operation and road network are included, the original figure will have roughly doubled.  Seems reasonable in that other figures suggest c. 0.5 kgCO2e/l for embedded fuel emissions and 0.6 kgCO2e/l for vehicle manufacturing emissions (based on 8 tCO2e spread over 200,000 km at 40 MPG), i.e. other operating emissions would have to come to 1.0 - 1.2 kgCO2e/l.  </t>
  </si>
  <si>
    <t>1. What fuel does your car use?</t>
  </si>
  <si>
    <t>Flights &amp; Boats</t>
  </si>
  <si>
    <t xml:space="preserve">vegetarian </t>
  </si>
  <si>
    <t>vegan</t>
  </si>
  <si>
    <t>1. How would you describe what your diet?</t>
  </si>
  <si>
    <t>seriously meaty</t>
  </si>
  <si>
    <t>light meat (once a day or less)</t>
  </si>
  <si>
    <t>5. How much of your food is processed and / or imported?</t>
  </si>
  <si>
    <t>Home</t>
  </si>
  <si>
    <t>Building</t>
  </si>
  <si>
    <t xml:space="preserve">9. How big is your house? </t>
  </si>
  <si>
    <t>Berners-Lee, 2010 and https://www.kent.gov.uk/__data/assets/pdf_file/0018/7353/Housing-stock-by-age-of-property.pdf</t>
  </si>
  <si>
    <t>bed</t>
  </si>
  <si>
    <t>House fabric</t>
  </si>
  <si>
    <t>Leave out for time being as likely to be relatively rare</t>
  </si>
  <si>
    <t>Estimates vary but are all very low</t>
  </si>
  <si>
    <t>Approximation based on 30 gCO2e/kWh which is the right ball park for renewables</t>
  </si>
  <si>
    <t xml:space="preserve">Updated by: </t>
  </si>
  <si>
    <t>Updated date:</t>
  </si>
  <si>
    <t>SD</t>
  </si>
  <si>
    <t>Previous years (copy values from the column to the left and note the date above):</t>
  </si>
  <si>
    <t>Future improvements to be made:</t>
  </si>
  <si>
    <t>Improve the readability and number of notes shown on the question sheet</t>
  </si>
  <si>
    <t>Marshall, G., (2007).  Carbon Detox.  London: Gaia</t>
  </si>
  <si>
    <t xml:space="preserve">UK average </t>
  </si>
  <si>
    <t>UK medium term target</t>
  </si>
  <si>
    <t>Global long term target</t>
  </si>
  <si>
    <t>UK</t>
  </si>
  <si>
    <t>average</t>
  </si>
  <si>
    <t>Find this by subtracting two meter readings a year apart</t>
  </si>
  <si>
    <r>
      <t>kgCO</t>
    </r>
    <r>
      <rPr>
        <sz val="8"/>
        <color theme="1"/>
        <rFont val="Calibri"/>
        <family val="2"/>
        <scheme val="minor"/>
      </rPr>
      <t>2</t>
    </r>
    <r>
      <rPr>
        <sz val="11"/>
        <color theme="1"/>
        <rFont val="Calibri"/>
        <family val="2"/>
        <scheme val="minor"/>
      </rPr>
      <t>e/kWh</t>
    </r>
  </si>
  <si>
    <r>
      <t>kgCO</t>
    </r>
    <r>
      <rPr>
        <sz val="8"/>
        <color theme="1"/>
        <rFont val="Calibri"/>
        <family val="2"/>
        <scheme val="minor"/>
      </rPr>
      <t>2</t>
    </r>
    <r>
      <rPr>
        <sz val="11"/>
        <color theme="1"/>
        <rFont val="Calibri"/>
        <family val="2"/>
        <scheme val="minor"/>
      </rPr>
      <t>e/£</t>
    </r>
  </si>
  <si>
    <r>
      <t>kgCO</t>
    </r>
    <r>
      <rPr>
        <sz val="8"/>
        <color theme="1"/>
        <rFont val="Calibri"/>
        <family val="2"/>
        <scheme val="minor"/>
      </rPr>
      <t>2</t>
    </r>
    <r>
      <rPr>
        <sz val="11"/>
        <color theme="1"/>
        <rFont val="Calibri"/>
        <family val="2"/>
        <scheme val="minor"/>
      </rPr>
      <t>e/m3</t>
    </r>
  </si>
  <si>
    <r>
      <t>kgCO</t>
    </r>
    <r>
      <rPr>
        <sz val="8"/>
        <color theme="1"/>
        <rFont val="Calibri"/>
        <family val="2"/>
        <scheme val="minor"/>
      </rPr>
      <t>2</t>
    </r>
    <r>
      <rPr>
        <sz val="11"/>
        <color theme="1"/>
        <rFont val="Calibri"/>
        <family val="2"/>
        <scheme val="minor"/>
      </rPr>
      <t>e/10ft3</t>
    </r>
  </si>
  <si>
    <r>
      <t>kgCO</t>
    </r>
    <r>
      <rPr>
        <sz val="8"/>
        <color theme="1"/>
        <rFont val="Calibri"/>
        <family val="2"/>
        <scheme val="minor"/>
      </rPr>
      <t>2</t>
    </r>
    <r>
      <rPr>
        <sz val="11"/>
        <color theme="1"/>
        <rFont val="Calibri"/>
        <family val="2"/>
        <scheme val="minor"/>
      </rPr>
      <t>e/l</t>
    </r>
  </si>
  <si>
    <r>
      <t>kgCO</t>
    </r>
    <r>
      <rPr>
        <sz val="8"/>
        <color theme="1"/>
        <rFont val="Calibri"/>
        <family val="2"/>
        <scheme val="minor"/>
      </rPr>
      <t>2</t>
    </r>
    <r>
      <rPr>
        <sz val="11"/>
        <color theme="1"/>
        <rFont val="Calibri"/>
        <family val="2"/>
        <scheme val="minor"/>
      </rPr>
      <t>e/kg</t>
    </r>
  </si>
  <si>
    <r>
      <t>kgCO</t>
    </r>
    <r>
      <rPr>
        <sz val="8"/>
        <color theme="1"/>
        <rFont val="Calibri"/>
        <family val="2"/>
        <scheme val="minor"/>
      </rPr>
      <t>2</t>
    </r>
    <r>
      <rPr>
        <sz val="11"/>
        <color theme="1"/>
        <rFont val="Calibri"/>
        <family val="2"/>
        <scheme val="minor"/>
      </rPr>
      <t>e/50kgsack</t>
    </r>
  </si>
  <si>
    <r>
      <t>kgCO</t>
    </r>
    <r>
      <rPr>
        <sz val="8"/>
        <color theme="1"/>
        <rFont val="Calibri"/>
        <family val="2"/>
        <scheme val="minor"/>
      </rPr>
      <t>2</t>
    </r>
    <r>
      <rPr>
        <sz val="11"/>
        <color theme="1"/>
        <rFont val="Calibri"/>
        <family val="2"/>
        <scheme val="minor"/>
      </rPr>
      <t>e/tonne</t>
    </r>
  </si>
  <si>
    <r>
      <t>kgCO</t>
    </r>
    <r>
      <rPr>
        <sz val="8"/>
        <color theme="1"/>
        <rFont val="Calibri"/>
        <family val="2"/>
        <scheme val="minor"/>
      </rPr>
      <t>2</t>
    </r>
    <r>
      <rPr>
        <sz val="11"/>
        <color theme="1"/>
        <rFont val="Calibri"/>
        <family val="2"/>
        <scheme val="minor"/>
      </rPr>
      <t>e/m2</t>
    </r>
  </si>
  <si>
    <r>
      <t>kgCO</t>
    </r>
    <r>
      <rPr>
        <sz val="8"/>
        <color theme="1"/>
        <rFont val="Calibri"/>
        <family val="2"/>
        <scheme val="minor"/>
      </rPr>
      <t>2</t>
    </r>
    <r>
      <rPr>
        <sz val="11"/>
        <color theme="1"/>
        <rFont val="Calibri"/>
        <family val="2"/>
        <scheme val="minor"/>
      </rPr>
      <t>e/tube</t>
    </r>
  </si>
  <si>
    <r>
      <t>kgCO</t>
    </r>
    <r>
      <rPr>
        <sz val="8"/>
        <color theme="1"/>
        <rFont val="Calibri"/>
        <family val="2"/>
        <scheme val="minor"/>
      </rPr>
      <t>2</t>
    </r>
    <r>
      <rPr>
        <sz val="11"/>
        <color theme="1"/>
        <rFont val="Calibri"/>
        <family val="2"/>
        <scheme val="minor"/>
      </rPr>
      <t>e/bed</t>
    </r>
  </si>
  <si>
    <r>
      <t>kgCO</t>
    </r>
    <r>
      <rPr>
        <sz val="8"/>
        <color theme="1"/>
        <rFont val="Calibri"/>
        <family val="2"/>
        <scheme val="minor"/>
      </rPr>
      <t>2</t>
    </r>
    <r>
      <rPr>
        <sz val="11"/>
        <color theme="1"/>
        <rFont val="Calibri"/>
        <family val="2"/>
        <scheme val="minor"/>
      </rPr>
      <t>e/mile</t>
    </r>
  </si>
  <si>
    <r>
      <t>kgCO</t>
    </r>
    <r>
      <rPr>
        <sz val="8"/>
        <color theme="1"/>
        <rFont val="Calibri"/>
        <family val="2"/>
        <scheme val="minor"/>
      </rPr>
      <t>2</t>
    </r>
    <r>
      <rPr>
        <sz val="11"/>
        <color theme="1"/>
        <rFont val="Calibri"/>
        <family val="2"/>
        <scheme val="minor"/>
      </rPr>
      <t>e/km</t>
    </r>
  </si>
  <si>
    <r>
      <t>kgCO</t>
    </r>
    <r>
      <rPr>
        <sz val="8"/>
        <color theme="1"/>
        <rFont val="Calibri"/>
        <family val="2"/>
        <scheme val="minor"/>
      </rPr>
      <t>2</t>
    </r>
    <r>
      <rPr>
        <sz val="11"/>
        <color theme="1"/>
        <rFont val="Calibri"/>
        <family val="2"/>
        <scheme val="minor"/>
      </rPr>
      <t>e/hour/week</t>
    </r>
  </si>
  <si>
    <r>
      <t>kgCO</t>
    </r>
    <r>
      <rPr>
        <sz val="8"/>
        <color theme="1"/>
        <rFont val="Calibri"/>
        <family val="2"/>
        <scheme val="minor"/>
      </rPr>
      <t>2</t>
    </r>
    <r>
      <rPr>
        <sz val="11"/>
        <color theme="1"/>
        <rFont val="Calibri"/>
        <family val="2"/>
        <scheme val="minor"/>
      </rPr>
      <t>e/hour</t>
    </r>
  </si>
  <si>
    <r>
      <t>kgCO</t>
    </r>
    <r>
      <rPr>
        <sz val="8"/>
        <color theme="1"/>
        <rFont val="Calibri"/>
        <family val="2"/>
        <scheme val="minor"/>
      </rPr>
      <t>2</t>
    </r>
    <r>
      <rPr>
        <sz val="11"/>
        <color theme="1"/>
        <rFont val="Calibri"/>
        <family val="2"/>
        <scheme val="minor"/>
      </rPr>
      <t>e/return economy flight</t>
    </r>
  </si>
  <si>
    <r>
      <t>kgCO</t>
    </r>
    <r>
      <rPr>
        <sz val="8"/>
        <color theme="1"/>
        <rFont val="Calibri"/>
        <family val="2"/>
        <scheme val="minor"/>
      </rPr>
      <t>2</t>
    </r>
    <r>
      <rPr>
        <sz val="11"/>
        <color theme="1"/>
        <rFont val="Calibri"/>
        <family val="2"/>
        <scheme val="minor"/>
      </rPr>
      <t>e/day</t>
    </r>
  </si>
  <si>
    <r>
      <t>kgCO</t>
    </r>
    <r>
      <rPr>
        <sz val="8"/>
        <color theme="1"/>
        <rFont val="Calibri"/>
        <family val="2"/>
        <scheme val="minor"/>
      </rPr>
      <t>2</t>
    </r>
    <r>
      <rPr>
        <sz val="11"/>
        <color theme="1"/>
        <rFont val="Calibri"/>
        <family val="2"/>
        <scheme val="minor"/>
      </rPr>
      <t>e</t>
    </r>
  </si>
  <si>
    <r>
      <t xml:space="preserve">Much of the structure and information has come from two great books on the subject: </t>
    </r>
    <r>
      <rPr>
        <b/>
        <sz val="11"/>
        <color theme="1"/>
        <rFont val="Calibri"/>
        <family val="2"/>
        <scheme val="minor"/>
      </rPr>
      <t>Carbon Detox</t>
    </r>
    <r>
      <rPr>
        <sz val="11"/>
        <color theme="1"/>
        <rFont val="Calibri"/>
        <family val="2"/>
        <scheme val="minor"/>
      </rPr>
      <t xml:space="preserve"> and </t>
    </r>
    <r>
      <rPr>
        <b/>
        <sz val="11"/>
        <color theme="1"/>
        <rFont val="Calibri"/>
        <family val="2"/>
        <scheme val="minor"/>
      </rPr>
      <t>How Bad Are Bananas</t>
    </r>
    <r>
      <rPr>
        <sz val="11"/>
        <color theme="1"/>
        <rFont val="Calibri"/>
        <family val="2"/>
        <scheme val="minor"/>
      </rPr>
      <t xml:space="preserve">, with gaps filled and figures updated.  </t>
    </r>
  </si>
  <si>
    <t>Shade alternate rows to make them easier to follow</t>
  </si>
  <si>
    <t>You</t>
  </si>
  <si>
    <r>
      <t xml:space="preserve">This is a calculator to help people who are interested to see how big their carbon footprint is and where it comes from.  It is based on </t>
    </r>
    <r>
      <rPr>
        <i/>
        <sz val="11"/>
        <color theme="1"/>
        <rFont val="Calibri"/>
        <family val="2"/>
        <scheme val="minor"/>
      </rPr>
      <t>personal consumption</t>
    </r>
    <r>
      <rPr>
        <sz val="11"/>
        <color theme="1"/>
        <rFont val="Calibri"/>
        <family val="2"/>
        <scheme val="minor"/>
      </rPr>
      <t xml:space="preserve">.  Things we have direct control over.  It looks at the detail of these everyday things, so you can see where your efforts are best placed to have the biggest impact.  National figures including those given by the UK government are often based on national </t>
    </r>
    <r>
      <rPr>
        <i/>
        <sz val="11"/>
        <color theme="1"/>
        <rFont val="Calibri"/>
        <family val="2"/>
        <scheme val="minor"/>
      </rPr>
      <t xml:space="preserve">production.  </t>
    </r>
    <r>
      <rPr>
        <sz val="11"/>
        <color theme="1"/>
        <rFont val="Calibri"/>
        <family val="2"/>
        <scheme val="minor"/>
      </rPr>
      <t>These are often under estimates for developed countries that import many goods, meaning they export much of their CO</t>
    </r>
    <r>
      <rPr>
        <sz val="8"/>
        <color theme="1"/>
        <rFont val="Calibri"/>
        <family val="2"/>
        <scheme val="minor"/>
      </rPr>
      <t>2</t>
    </r>
    <r>
      <rPr>
        <sz val="11"/>
        <color theme="1"/>
        <rFont val="Calibri"/>
        <family val="2"/>
        <scheme val="minor"/>
      </rPr>
      <t xml:space="preserve"> (and other) pollution to countries with lower environmental standards, where financial costs of production are lower.  They often also exclude emissions from international travel.  </t>
    </r>
  </si>
  <si>
    <r>
      <t>The calculator estimates the footprint of your personal life in the form of green house effect (tonnes of Carbon Dioxide equivalent, CO</t>
    </r>
    <r>
      <rPr>
        <sz val="8"/>
        <color theme="1"/>
        <rFont val="Calibri"/>
        <family val="2"/>
        <scheme val="minor"/>
      </rPr>
      <t>2</t>
    </r>
    <r>
      <rPr>
        <sz val="11"/>
        <color theme="1"/>
        <rFont val="Calibri"/>
        <family val="2"/>
        <scheme val="minor"/>
      </rPr>
      <t xml:space="preserve">e) and compares this to typical and sustainable amounts.  It is designed to work out your personal footprint and doesn't include things you do for work or any offsetting you may do (e.g. paid services, tree planting, renewables, etc.), just your personal footprint.  </t>
    </r>
  </si>
  <si>
    <r>
      <t>Once you have selected your units and entered value, a multiplier and its units will appear to the right, and to the right of this, your footprint for this particular item in kilograms of CO</t>
    </r>
    <r>
      <rPr>
        <sz val="8"/>
        <color theme="1"/>
        <rFont val="Calibri"/>
        <family val="2"/>
        <scheme val="minor"/>
      </rPr>
      <t>2</t>
    </r>
    <r>
      <rPr>
        <sz val="11"/>
        <color theme="1"/>
        <rFont val="Calibri"/>
        <family val="2"/>
        <scheme val="minor"/>
      </rPr>
      <t xml:space="preserve"> equivalent (kgCO</t>
    </r>
    <r>
      <rPr>
        <sz val="8"/>
        <color theme="1"/>
        <rFont val="Calibri"/>
        <family val="2"/>
        <scheme val="minor"/>
      </rPr>
      <t>2</t>
    </r>
    <r>
      <rPr>
        <sz val="11"/>
        <color theme="1"/>
        <rFont val="Calibri"/>
        <family val="2"/>
        <scheme val="minor"/>
      </rPr>
      <t>e).  To the right of this are notes to help you find the answer or explain the outcome.  These are summarised at the top under 'Current' in tonnes of CO</t>
    </r>
    <r>
      <rPr>
        <sz val="8"/>
        <color theme="1"/>
        <rFont val="Calibri"/>
        <family val="2"/>
        <scheme val="minor"/>
      </rPr>
      <t>2</t>
    </r>
    <r>
      <rPr>
        <sz val="11"/>
        <color theme="1"/>
        <rFont val="Calibri"/>
        <family val="2"/>
        <scheme val="minor"/>
      </rPr>
      <t xml:space="preserve">e - think of it like pounds and thousands.  Further details and sources can be found on the 'Figures' tab.  When you have completed the question below you can set yourself a target under 'Your aim' at the top and monitor your progress by copying previous years totals to the top right under 'Previous years'.  </t>
    </r>
  </si>
  <si>
    <t>Approximation based on typical price of 16 p/kWh, 25 p/day + 5 % VAT for 3,500 kWh per year.  Oct 2018</t>
  </si>
  <si>
    <t>Approximation based on typical price of 3.8 p/kWh, 20 p/day + 5 % VAT for 10,000 kWh per year.  Oct 2018</t>
  </si>
  <si>
    <t>Approximation based on 50 p/l but varies significantly with time</t>
  </si>
  <si>
    <t>Probably no allowance for embedded emissions.  Approximation based on a price of £ 18 / 50 kg bag and Marshal emissions</t>
  </si>
  <si>
    <t>Complex situation due to carbon neutral fuel but albedo effect of pollution.  UK government figures vary from 0.013 to 0.20 kgCO2e/kWh.  Figures for Norway but supply chain emissions 0.05 - 0.10 kgCO2e/kWh alone but are c. 0.4 kgCO2e/kWh once the albedo effect of pollution is included (see bottom of Figures tab) - as bad as coal or electricity!  Maybe the black carbon in soot isn't so potent in the less snowy UK, but the situation doesn't look to be as simple as once thought</t>
  </si>
  <si>
    <t>Complex situation due to carbon neutral fuel but albedo effect of pollution.  UK government figures vary from 0.013 to 0.20 kgCO2e/kWh.  Figures for Norway but supply chain emissions 0.05 - 0.10 kgCO2e/kWh alone but are c. 0.4 kgCO2e/kWh once the albedo effect of pollution is included (see bottom of Figures tab) - as bad as coal or electricity!  Maybe the black carbon in soot isn't so potent in the less snowy UK, but the situation doesn't look to be as simple as once thought.  Value based on 3800 kWh / tonne</t>
  </si>
  <si>
    <t>Complex situation due to carbon neutral fuel but albedo effect of pollution.  UK government figures vary from 0.013 to 0.20 kgCO2e/kWh.  Figures for Norway but supply chain emissions 0.05 - 0.10 kgCO2e/kWh alone but are c. 0.4 kgCO2e/kWh once the albedo effect of pollution is included (see bottom of Figures tab) - as bad as coal or electricity!  Maybe the black carbon in soot isn't so potent in the less snowy UK, but the situation doesn't look to be as simple as once thought.  A 0.82 x 0.82 x 0.82 m, 0.55 m3, 'tonne' bag of logs weighs approx.. 200 kg</t>
  </si>
  <si>
    <t>Complex situation due to carbon neutral fuel but albedo effect of pollution.  UK government figures vary from 0.013 to 0.20 kgCO2e/kWh.  Figures for Norway but supply chain emissions 0.05 - 0.10 kgCO2e/kWh alone but are c. 0.4 kgCO2e/kWh once the albedo effect of pollution is included (see bottom of Figures tab) - as bad as coal or electricity!  Maybe the black carbon in soot isn't so potent in the less snowy UK, but the situation doesn't look to be as simple as once thought.  Approximate price of £ 150 / tonne based on experience</t>
  </si>
  <si>
    <t>This gives an approximation of the emissions from the building of your home.  Raise or lower the figure if your house is particularly small or large for the number of beds.  Arguably this figure should be lower or higher for a very new or old home but in practice which you chose to live in has little impact on overall numbers of homes built and emissions.  The multiplier is based on a 2 bed home having an embodied footprint of 80 tCO2e and houses lasting an average of 120 years, i.e. 1/3 tCO2e per bed per year (= 80 / 2 / 120).  UK average figure based on UK housing stock of 24 M and average size of 2.8 bedrooms.  Population is 65 million, i.e. occupancy averages 2.7 people per house, near enough room numbers:  80/2 x 2.8 / 2.7 / 120 = 0.35 tCO2e.  Assuming cost of 2 bed is £ 200,000, 0.4 kg/£ for repayments.  Interest on £200,000 over 25 year repayment = £150,000 at 0.1 kg/£, i.e. Total = 95 t / £ 350,000 = 0.27 kg/£</t>
  </si>
  <si>
    <t>Again this may seem a little higher than normal - surely cycling is carbon free!?  Sadly like all things, it still needs to be fuelled and there are some embedded emissions.  In fact emissions are quite possibly higher than this as the embedded figure of 50 gCO2e/mile from Berners-Lee would seem likely to be an under estimate based on typical bicycle lifetime mileage, and even by his own admission!  Embodied emissions are may be more like 100 - 150 gCO2e/mile.  The 'fuel' used is equally variable.  The amount of calories burn varies with the speed, weight, bike, braking etc. and is assumed at a central figure of 50 cal / mile, but could be from 25 to 75 cal in the extremes.  Add to this the emissions from the choice of food and the options widen further: in theory, anything from 0 eating nothing but apples grown in your garden, to 2,800 gCO2e/mile (you may as well drive a lorry!) if eating nothing but air-freighted asparagus!  In practice its around 80 gCO2e/mile for the average UK diet assuming it has an impact of 2000 kgCO2e/year and consumes 3400 cal / day.  Organic or vegan food roughly halves this (but not the embedded!).  In all, that makes for about 130 gCO2e/mile but this could easily be doubled or halved depending on the variables above.  But don't worry too much: we all need exercise and unless you cycle a huge amount, it won't make a lot of odds!</t>
  </si>
  <si>
    <t>Berners-Lee, 2010, Marshall, 2007, https://slate.com/technology/2011/08/how-soon-does-a-bike-pay-back-its-initial-carbon-footprint.html and https://www.cyclinguk.org/resources/cycling-uk-cycling-statistics</t>
  </si>
  <si>
    <t>Again this may seem a little higher than normal - surely cycling is carbon free!?  Sadly like all things, it still needs to be fuelled and there are some embedded emissions.  In fact emissions are quite possibly higher than this as the embedded figure of 30 gCO2e/km from Berners-Lee would seem likely to be an under estimate based on typical bicycle lifetime mileage, and even by his own admission!  Embodied emissions are may be more like 60 - 90 gCO2e/km.  The 'fuel' used is equally variable.  The amount of calories burn varies with the speed, weight, bike, braking etc. and is assumed at a central figure of 30 cal / km, but could be from 15 to 45 cal in the extremes.  Add to this the emissions from the choice of food and the options widen further: in theory, anything from 0 eating nothing but apples grown in your garden, to 1,800 gCO2e/km if eating nothing but air-freighted asparagus (you may as well drive a lorry!)!  In practice its around 50 gCO2e/km for the average UK diet assuming it has an impact of 2000 kgCO2e/year and consumes 3400 cal / day.  Organic or vegan food roughly halves this (but not the embedded!).  In all, that makes for about 80 gCO2e/mile but this could easily be doubled or halved depending on the variables above.  But don't worry too much: we all need exercise and unless you cycle a huge amount, it won't make a lot of odds!</t>
  </si>
  <si>
    <t>Again this may seem a little higher than normal - surely cycling is carbon free!?  Sadly like all things, it still needs to be fuelled and there are some embedded emissions.  In fact emissions are quite possibly higher than this as the embedded figure of 50 gCO2e/mile from Berners-Lee would seem likely to be an under estimate based on typical bicycle lifetime mileage, and even by his own admission!  Embodied emissions are may be more like 100 - 150 gCO2e/mile.  The 'fuel' used is equally variable.  The amount of calories burn varies with the speed, weight, bike, braking etc. and is assumed at a central figure of 50 cal / mile, but could be from 25 to 75 cal in the extremes.  Add to this the emissions from the choice of food and the options widen further: in theory, anything from 0 eating nothing but apples grown in your garden, to 2,800 gCO2e/mile (you may as well drive a lorry!) if eating nothing but air-freighted asparagus!  In practice its around 80 gCO2e/mile for the average UK diet assuming it has an impact of 2000 kgCO2e/year and consumes 3400 cal / day.  Organic or vegan food roughly halves this (but not the embedded!).  In all, that makes for about 130 gCO2e/mile but this could easily be doubled or halved depending on the variables above.  But don't worry too much: we all need exercise and unless you cycle a huge amount, it won't make a lot of odds!  Assumes an average of 10 miles per hour and 12 months per year!</t>
  </si>
  <si>
    <t xml:space="preserve">   13. How many to the Mediterranean or Eastern Europe?</t>
  </si>
  <si>
    <t>Portsmouth to Cherbourg is 146 km and 3 hours on the fast ferry</t>
  </si>
  <si>
    <t>typical British</t>
  </si>
  <si>
    <t>9. How often do you eat in restaurants or canteens?</t>
  </si>
  <si>
    <t>Further details for some figures used:</t>
  </si>
  <si>
    <t>Long-haul average</t>
  </si>
  <si>
    <t>Portsmouth Le Harve slow</t>
  </si>
  <si>
    <t>Portsmouth Le Harve fast</t>
  </si>
  <si>
    <t>Plymouth Roscoff</t>
  </si>
  <si>
    <t>Add how you treat your waste, recycling etc.</t>
  </si>
  <si>
    <t xml:space="preserve">2. How much of your house is used to work from home? </t>
  </si>
  <si>
    <t>Your aim for next year</t>
  </si>
  <si>
    <t>Base this on a proportion of the space and time you use the house for.  e.g. 12 % if you have a dedicated home office that is 10 % of the house footprint, plus a bit of allowance for other bits like the loo and kitchen, or maybe 6 % if you use the dining room as an office just as often as you do as a dining room and its 10 % of the house, again allowing a bit for other parts of the house used to a lesser extent.  We will ignore the proportion of your home you use for work as this calculator is all about you personal footprint.  You don't need to include any work emissions as these are part of other consumers footprints' using this method</t>
  </si>
  <si>
    <t>kWh per year</t>
  </si>
  <si>
    <t>£ per year</t>
  </si>
  <si>
    <t>m3 per year</t>
  </si>
  <si>
    <t>100s of ft3 per year</t>
  </si>
  <si>
    <t>Litres of bulk LPG per year</t>
  </si>
  <si>
    <t>kg of bottle lpg per year</t>
  </si>
  <si>
    <t>Litres per year</t>
  </si>
  <si>
    <t>kg per year</t>
  </si>
  <si>
    <t>50 kg sacks per year</t>
  </si>
  <si>
    <t>tonnes per year</t>
  </si>
  <si>
    <t>£ per month</t>
  </si>
  <si>
    <t>Add in future version</t>
  </si>
  <si>
    <t xml:space="preserve">Removed in v0.4 as potential for confusion / under estimates, particularly with low emissoins vehicles such as EVs or hybrids. </t>
  </si>
  <si>
    <t xml:space="preserve">A higher figure than you normally see, but increased to include direct fuel + embedded fuel + embedded &amp; non-fuel operating vehicle emissions.  See above for electrical emissions.  Vehicle embedded emissions based on 10.5 t CO2e spread over 150,000 km at 211 Wh/km: 0.33 kgCO2e/kWh (70 g/km).  Further 35 g/km (0.17 kgCO2e/kWh) allowed for non fuel operating emissions in comparison to 60 - 90 allowed by Berners-Lee for ICE engines on the assumption that EV operating costs and emissions are lower than ICE.  </t>
  </si>
  <si>
    <t>Global longterm</t>
  </si>
  <si>
    <t>and UK medium</t>
  </si>
  <si>
    <t>term targets</t>
  </si>
  <si>
    <t>Marshal, 2007 updated for current population projections: Based on the the assumption that the globe can naturally sequester about 10 bn tonnes CO2 / year and that global population will stabalise at about 10 - 12 bn by the end of the century.  With this in mind we need to be sub 1 t and aiming for 0.  Perhaps 0.5 t would be a reasonable figure to give a sense of scale without turning people off.  From our current position it's slightly academic.</t>
  </si>
  <si>
    <t xml:space="preserve">Marshal, 2007 and the Climate Change Act 2008.  The target was set at and is now 80 % by 2050, but again relates to 1990 national production figures.  Noises to include international travel in this are being made, but to reduce actual consumption is still off the cards to the best of my knowledge.  UK consumption in 1990 was about 11 t, so an 80 % reduction in consumption by 2050 would mean getting about 2.2 t.  Not that that's what the 80 % figure ties us to.  Yet.  Reliable figures on true national consumption (including imports, embedded emissions and international travel) seem hard to come by, but looking at this more carefully, 2.2 t by 2050 is probably a reasonable ball park description of present UK gov. aims.  </t>
  </si>
  <si>
    <t>0.5 - 2.2</t>
  </si>
  <si>
    <t>Add weighting factor for economy, business and first class</t>
  </si>
  <si>
    <t>6. How many packs of air freight fish or vegetables do you buy per month?</t>
  </si>
  <si>
    <t>Carbon intensive things e.g. textiles, building materials, machinery, heavy household equipment, etc.</t>
  </si>
  <si>
    <t>Low impact products e.g. labour intensive products and services, second-hand goods, antiques, etc.</t>
  </si>
  <si>
    <t>Neither high nor low carbon items e.g. hotels, pharmaceuticals, jewellery, alcohol, furniture, furnishings, etc.</t>
  </si>
  <si>
    <t>2. What percentage do you spend on low carbon spending (see notes)?</t>
  </si>
  <si>
    <t>3. What percentage do you spend on carbon intensive spending (see notes)</t>
  </si>
  <si>
    <t>v0.3 - initial draft released for comment</t>
  </si>
  <si>
    <t>v0.4 - revised draft released to wider audience following initial corections and improvements based on feedback</t>
  </si>
  <si>
    <t>v0.0 - 0.2 developing layout, formulas and formatting.  Not released</t>
  </si>
  <si>
    <t>References:</t>
  </si>
  <si>
    <t>Revisions:</t>
  </si>
  <si>
    <t>Add second vehicle option</t>
  </si>
  <si>
    <t>Ensure electric vehicle electricity isn't double counted (using proportion charged at home option or by removing from domestic electric?)</t>
  </si>
  <si>
    <t>Allow averaging period to be altered from standard 100 year, e.g. shorter period relating to 1.5 or 2.0 deg target that will weight methane more highly</t>
  </si>
  <si>
    <t xml:space="preserve">Find this by subtracting two meter readings a year apart.  Do not include electricity used to charge your electric car - this is included below.  Note this includes 'green' or conventional power.  Electricity from a green supplier is commonly claimed to have zero carbon foot print.  This is doubly untrue: energy from all current sources has a carbon footprint, primarily from embedded emissions for renewables (typically 50 gCO2e/kWh - a big improvement but not zero);  more importantly buying from a 'green' supplier does not presently increase generation of renewable energy in the UK as supply is significantly greater than demand, green suppliers also commonly re-sell the certificate of green productions  to other suppliers.  Duly buying from a green supplier has negligible net effect.  This is not to say don't buy from a green supplier, there are still benefits, just not as large as their marketing may have you believe.  See 'How Bad are Bananas', 'Carbon Detox',  https://www.ethicalconsumer.org/energy/do-green-tariffs-make-difference or search online for a full explanation.  Similarly, producing renewables at home with PV or similar has little personal effect if you are grid connected as its benefit is in decarbonising the entire a little bit rather than your home individually.  In practice on site generation will reduce the power you buy in and you estimated footprint, which as the figures we are talking about are relatively small is a reasonable approximation to the benefit it brings on a household level.  </t>
  </si>
  <si>
    <t>Other</t>
  </si>
  <si>
    <r>
      <t xml:space="preserve">The calculator works by you </t>
    </r>
    <r>
      <rPr>
        <b/>
        <sz val="11"/>
        <color theme="1"/>
        <rFont val="Calibri"/>
        <family val="2"/>
        <scheme val="minor"/>
      </rPr>
      <t>choosing your units from the drop-down</t>
    </r>
    <r>
      <rPr>
        <sz val="11"/>
        <color theme="1"/>
        <rFont val="Calibri"/>
        <family val="2"/>
        <scheme val="minor"/>
      </rPr>
      <t xml:space="preserve"> where it says 'Please choose' in the 'Units' column, and </t>
    </r>
    <r>
      <rPr>
        <b/>
        <sz val="11"/>
        <color theme="1"/>
        <rFont val="Calibri"/>
        <family val="2"/>
        <scheme val="minor"/>
      </rPr>
      <t>entering a number in the grey cell</t>
    </r>
    <r>
      <rPr>
        <sz val="11"/>
        <color theme="1"/>
        <rFont val="Calibri"/>
        <family val="2"/>
        <scheme val="minor"/>
      </rPr>
      <t xml:space="preserve"> in the 'Answers' column.  Please enter numbers as figures  rather than text (e.g. '3', not 'three') and </t>
    </r>
    <r>
      <rPr>
        <b/>
        <sz val="11"/>
        <color theme="1"/>
        <rFont val="Calibri"/>
        <family val="2"/>
        <scheme val="minor"/>
      </rPr>
      <t>answer for the based on the previous 12 months</t>
    </r>
    <r>
      <rPr>
        <sz val="11"/>
        <color theme="1"/>
        <rFont val="Calibri"/>
        <family val="2"/>
        <scheme val="minor"/>
      </rPr>
      <t xml:space="preserve"> unless the units specifically say otherwise.  Some questions are multiple choice and you just need to pick the most suitable answer from the dropdown list.  To be more accurate use amounts rather than costs where possible (e.g. an answer in 'kWh' will be more accurate than an approximation from one in '£').  If an question doesn't apply to you, leave it blank or enter '0'.  Be as honest as possible.  </t>
    </r>
  </si>
  <si>
    <t>The 'Other' row and cell in grey in the summary at the top of this sheet under 'You' can be used to add in in anything the spreadsheet doesn’t cover</t>
  </si>
  <si>
    <t>Expand to include ecological footprint in Gha</t>
  </si>
  <si>
    <t>Marshal, 2007, BEIS (ENERGY CONSUMPTION IN THE UK - July 2018 (for 2017)), carbon intensity of electricity below and population based on 66 M</t>
  </si>
  <si>
    <r>
      <rPr>
        <b/>
        <sz val="11"/>
        <color theme="1"/>
        <rFont val="Calibri"/>
        <family val="2"/>
        <scheme val="minor"/>
      </rPr>
      <t>Or</t>
    </r>
    <r>
      <rPr>
        <sz val="11"/>
        <color theme="1"/>
        <rFont val="Calibri"/>
        <family val="2"/>
        <scheme val="minor"/>
      </rPr>
      <t xml:space="preserve"> as an alternative you can enter the number of flights you make to places similar to these:</t>
    </r>
  </si>
  <si>
    <t>Include commuting, but not miles travelled for work.  This should be personal distance travelled by car (or van, or motorbike etc.) in your own, someone else's or hire vehicles.  If you're not sure how far you travel per year take a look at the mileage on old MOTs.  You can find them online by entering your registration number here: https://www.gov.uk/check-mot-history</t>
  </si>
  <si>
    <t>4. How far do you travel by car? (not for work but inc. commuting)</t>
  </si>
  <si>
    <r>
      <rPr>
        <b/>
        <sz val="11"/>
        <color theme="1"/>
        <rFont val="Calibri"/>
        <family val="2"/>
      </rPr>
      <t xml:space="preserve">↑  </t>
    </r>
    <r>
      <rPr>
        <b/>
        <sz val="11"/>
        <color theme="1"/>
        <rFont val="Calibri"/>
        <family val="2"/>
        <scheme val="minor"/>
      </rPr>
      <t xml:space="preserve">Scroll up for instructions  ↑                                                                                         ↓Fill in or select values in grey cells↓                             </t>
    </r>
  </si>
  <si>
    <t>Or van . . . or motorbike . . .  If you use a variety of vehicles answer for the one you travel the greatest distance in or calculate both and pop one of them in the 'Other' totals cell (F12) at the top</t>
  </si>
  <si>
    <t>v0.5 - electricity carbon intensity updated for 2018 figures</t>
  </si>
  <si>
    <t>UK Government GHG Conversion Factors for Company Reporting 2018 (likely to be based on 2016 data)</t>
  </si>
  <si>
    <t>8. How much electricity does your home use?</t>
  </si>
  <si>
    <t>7. How much solar thermal does your home use / have?</t>
  </si>
  <si>
    <t>6. How much wood does your home use?  (Logs, chips or pellets)</t>
  </si>
  <si>
    <t>5. How much house coal does your home use?</t>
  </si>
  <si>
    <t>4. How much heating oil does your home use?</t>
  </si>
  <si>
    <t>3. How much gas does your home use?</t>
  </si>
  <si>
    <t>How much money do you spend on stuff?  Virtually everything we do has a carbon footprint and most of it relates very closely to how much it cost.  In simple terms, take how much do you earn after tax, take away the money spent on things above, savings &amp; offsetting to fill in this box.  Personal, not household.  This can be a tricky and is usually a big one.  It is often omitted from many assesments as the emissions are often released overseas where much heavy industry occurs, but we are still responsile for these emissions.  How much money do you earn from work, borrowing, pensions, investments, lottery wins, etc after home energy, rent, mortgage, car, travel, food, taxes (income, council, etc.), savings and carbon offsetting (such as paid offsetting services, spending on renewables, etc.).  Some people sudgest savings should be included, as unless they are in your matress, they will be leant to someone else (or because of the way the banking system works, probably several other people several times over!), but here we are taking the view that those emissions are part of thier footprint and to include them would be double counting, as your savings will contribute towards your foorprint when they are spent one day</t>
  </si>
  <si>
    <t xml:space="preserve">1. After you have paid for all the things above how much do you spend on other stuff?  </t>
  </si>
  <si>
    <t>v0.6 - Format / order of items and colour code updated to match ZCB</t>
  </si>
  <si>
    <t>Improve accuracy of food footprint by allowing for size of diet and improved questions</t>
  </si>
  <si>
    <t>v0.61 - Order of heating nd electricity totals in summary corrected following ZCB format update</t>
  </si>
  <si>
    <r>
      <t>Personal carbon footprint estimator v0.61 06 April.  2019                       Summary in tCO</t>
    </r>
    <r>
      <rPr>
        <sz val="8"/>
        <color theme="1"/>
        <rFont val="Calibri"/>
        <family val="2"/>
        <scheme val="minor"/>
      </rPr>
      <t>2</t>
    </r>
    <r>
      <rPr>
        <sz val="11"/>
        <color theme="1"/>
        <rFont val="Calibri"/>
        <family val="2"/>
        <scheme val="minor"/>
      </rPr>
      <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</si>
</sst>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7" x14ac:knownFonts="1">
    <font>
      <sz val="11"/>
      <color theme="1"/>
      <name val="Calibri"/>
      <family val="2"/>
      <scheme val="minor"/>
    </font>
    <font>
      <i/>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color theme="1"/>
      <name val="Calibri"/>
      <family val="2"/>
      <scheme val="minor"/>
    </font>
    <font>
      <b/>
      <sz val="11"/>
      <color theme="1"/>
      <name val="Calibri"/>
      <family val="2"/>
    </font>
  </fonts>
  <fills count="11">
    <fill>
      <patternFill patternType="none"/>
    </fill>
    <fill>
      <patternFill patternType="gray125"/>
    </fill>
    <fill>
      <patternFill patternType="solid">
        <fgColor theme="2"/>
        <bgColor indexed="64"/>
      </patternFill>
    </fill>
    <fill>
      <patternFill patternType="solid">
        <fgColor rgb="FFE67676"/>
        <bgColor indexed="64"/>
      </patternFill>
    </fill>
    <fill>
      <patternFill patternType="solid">
        <fgColor rgb="FF7CCE86"/>
        <bgColor indexed="64"/>
      </patternFill>
    </fill>
    <fill>
      <patternFill patternType="solid">
        <fgColor rgb="FFFBA629"/>
        <bgColor indexed="64"/>
      </patternFill>
    </fill>
    <fill>
      <patternFill patternType="solid">
        <fgColor rgb="FF5081A2"/>
        <bgColor indexed="64"/>
      </patternFill>
    </fill>
    <fill>
      <patternFill patternType="solid">
        <fgColor rgb="FF709BB8"/>
        <bgColor indexed="64"/>
      </patternFill>
    </fill>
    <fill>
      <patternFill patternType="solid">
        <fgColor rgb="FF7030A0"/>
        <bgColor indexed="64"/>
      </patternFill>
    </fill>
    <fill>
      <patternFill patternType="solid">
        <fgColor rgb="FFFDC777"/>
        <bgColor indexed="64"/>
      </patternFill>
    </fill>
    <fill>
      <patternFill patternType="solid">
        <fgColor rgb="FF406680"/>
        <bgColor indexed="64"/>
      </patternFill>
    </fill>
  </fills>
  <borders count="1">
    <border>
      <left/>
      <right/>
      <top/>
      <bottom/>
      <diagonal/>
    </border>
  </borders>
  <cellStyleXfs count="1">
    <xf numFmtId="0" fontId="0" fillId="0" borderId="0"/>
  </cellStyleXfs>
  <cellXfs count="36">
    <xf numFmtId="0" fontId="0" fillId="0" borderId="0" xfId="0"/>
    <xf numFmtId="0" fontId="0" fillId="0" borderId="0" xfId="0" applyFill="1"/>
    <xf numFmtId="2" fontId="0" fillId="0" borderId="0" xfId="0" applyNumberFormat="1"/>
    <xf numFmtId="164" fontId="0" fillId="0" borderId="0" xfId="0" applyNumberFormat="1"/>
    <xf numFmtId="165" fontId="0" fillId="0" borderId="0" xfId="0" applyNumberFormat="1"/>
    <xf numFmtId="1" fontId="0" fillId="0" borderId="0" xfId="0" applyNumberFormat="1"/>
    <xf numFmtId="1" fontId="0" fillId="0" borderId="0" xfId="0" applyNumberFormat="1" applyFill="1"/>
    <xf numFmtId="2" fontId="0" fillId="0" borderId="0" xfId="0" applyNumberFormat="1" applyFill="1"/>
    <xf numFmtId="165" fontId="0" fillId="0" borderId="0" xfId="0" applyNumberFormat="1" applyFill="1"/>
    <xf numFmtId="164" fontId="0" fillId="0" borderId="0" xfId="0" applyNumberFormat="1" applyFill="1"/>
    <xf numFmtId="0" fontId="2" fillId="0" borderId="0" xfId="0" applyFont="1"/>
    <xf numFmtId="165" fontId="2" fillId="0" borderId="0" xfId="0" applyNumberFormat="1" applyFont="1"/>
    <xf numFmtId="14" fontId="0" fillId="0" borderId="0" xfId="0" applyNumberFormat="1"/>
    <xf numFmtId="0" fontId="4" fillId="0" borderId="0" xfId="0" applyFont="1"/>
    <xf numFmtId="0" fontId="0" fillId="0" borderId="0" xfId="0" applyFill="1" applyAlignment="1">
      <alignment wrapText="1"/>
    </xf>
    <xf numFmtId="1" fontId="4" fillId="0" borderId="0" xfId="0" applyNumberFormat="1" applyFont="1"/>
    <xf numFmtId="0" fontId="0" fillId="0" borderId="0" xfId="0" applyFont="1"/>
    <xf numFmtId="0" fontId="2" fillId="0" borderId="0" xfId="0" applyFont="1" applyAlignment="1">
      <alignment horizontal="right"/>
    </xf>
    <xf numFmtId="0" fontId="3" fillId="0" borderId="0" xfId="0" applyFont="1"/>
    <xf numFmtId="0" fontId="0" fillId="0" borderId="0" xfId="0" applyFill="1" applyAlignment="1">
      <alignment horizontal="left" vertical="top" wrapText="1"/>
    </xf>
    <xf numFmtId="1" fontId="2" fillId="0" borderId="0" xfId="0" applyNumberFormat="1" applyFont="1"/>
    <xf numFmtId="0" fontId="0" fillId="2" borderId="0" xfId="0" applyFill="1" applyProtection="1">
      <protection locked="0"/>
    </xf>
    <xf numFmtId="0" fontId="0" fillId="0" borderId="0" xfId="0" applyProtection="1">
      <protection locked="0" hidden="1"/>
    </xf>
    <xf numFmtId="0" fontId="0" fillId="0" borderId="0" xfId="0" applyProtection="1"/>
    <xf numFmtId="165" fontId="0" fillId="2" borderId="0" xfId="0" applyNumberFormat="1" applyFill="1"/>
    <xf numFmtId="0" fontId="0" fillId="3" borderId="0" xfId="0" applyFill="1"/>
    <xf numFmtId="0" fontId="0" fillId="4" borderId="0" xfId="0" applyFill="1"/>
    <xf numFmtId="0" fontId="0" fillId="5" borderId="0" xfId="0" applyFill="1"/>
    <xf numFmtId="0" fontId="0" fillId="6" borderId="0" xfId="0" applyFill="1"/>
    <xf numFmtId="0" fontId="0" fillId="7" borderId="0" xfId="0" applyFill="1"/>
    <xf numFmtId="0" fontId="0" fillId="8" borderId="0" xfId="0" applyFill="1"/>
    <xf numFmtId="0" fontId="0" fillId="9" borderId="0" xfId="0" applyFill="1"/>
    <xf numFmtId="0" fontId="0" fillId="10" borderId="0" xfId="0" applyFill="1"/>
    <xf numFmtId="0" fontId="2" fillId="0" borderId="0" xfId="0" applyFont="1" applyFill="1" applyAlignment="1">
      <alignment horizontal="left" vertical="top" wrapText="1"/>
    </xf>
    <xf numFmtId="49" fontId="0" fillId="0" borderId="0" xfId="0" applyNumberFormat="1" applyFill="1" applyAlignment="1">
      <alignment horizontal="left" vertical="top" wrapText="1"/>
    </xf>
    <xf numFmtId="0" fontId="0" fillId="0" borderId="0" xfId="0" applyFill="1" applyAlignment="1">
      <alignment horizontal="left" vertical="top" wrapText="1"/>
    </xf>
  </cellXfs>
  <cellStyles count="1">
    <cellStyle name="Normal" xfId="0" builtinId="0"/>
  </cellStyles>
  <dxfs count="0"/>
  <tableStyles count="0" defaultTableStyle="TableStyleMedium2" defaultPivotStyle="PivotStyleLight16"/>
  <colors>
    <mruColors>
      <color rgb="FF406680"/>
      <color rgb="FFFDC777"/>
      <color rgb="FFFBA629"/>
      <color rgb="FF456F8B"/>
      <color rgb="FF709BB8"/>
      <color rgb="FF5081A2"/>
      <color rgb="FF7CCE86"/>
      <color rgb="FFE676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8"/>
          <c:order val="0"/>
          <c:tx>
            <c:strRef>
              <c:f>Figures!$A$11</c:f>
              <c:strCache>
                <c:ptCount val="1"/>
                <c:pt idx="0">
                  <c:v>Government</c:v>
                </c:pt>
              </c:strCache>
            </c:strRef>
          </c:tx>
          <c:spPr>
            <a:solidFill>
              <a:schemeClr val="accent3">
                <a:lumMod val="60000"/>
              </a:schemeClr>
            </a:solidFill>
            <a:ln>
              <a:noFill/>
            </a:ln>
            <a:effectLst/>
          </c:spPr>
          <c:invertIfNegative val="0"/>
          <c:cat>
            <c:strLit>
              <c:ptCount val="4"/>
              <c:pt idx="0">
                <c:v>UK Average</c:v>
              </c:pt>
              <c:pt idx="1">
                <c:v>Targets</c:v>
              </c:pt>
              <c:pt idx="2">
                <c:v>Your aim</c:v>
              </c:pt>
              <c:pt idx="3">
                <c:v>You</c:v>
              </c:pt>
            </c:strLit>
          </c:cat>
          <c:val>
            <c:numRef>
              <c:f>Calculator!$C$13:$F$13</c:f>
              <c:numCache>
                <c:formatCode>General</c:formatCode>
                <c:ptCount val="4"/>
                <c:pt idx="0" formatCode="0.0">
                  <c:v>1</c:v>
                </c:pt>
                <c:pt idx="3" formatCode="0.0">
                  <c:v>1</c:v>
                </c:pt>
              </c:numCache>
            </c:numRef>
          </c:val>
        </c:ser>
        <c:ser>
          <c:idx val="6"/>
          <c:order val="1"/>
          <c:tx>
            <c:strRef>
              <c:f>Figures!$A$8</c:f>
              <c:strCache>
                <c:ptCount val="1"/>
                <c:pt idx="0">
                  <c:v>Food</c:v>
                </c:pt>
              </c:strCache>
            </c:strRef>
          </c:tx>
          <c:spPr>
            <a:solidFill>
              <a:srgbClr val="7030A0"/>
            </a:solidFill>
            <a:ln>
              <a:noFill/>
            </a:ln>
            <a:effectLst/>
          </c:spPr>
          <c:invertIfNegative val="0"/>
          <c:cat>
            <c:strLit>
              <c:ptCount val="4"/>
              <c:pt idx="0">
                <c:v>UK Average</c:v>
              </c:pt>
              <c:pt idx="1">
                <c:v>Targets</c:v>
              </c:pt>
              <c:pt idx="2">
                <c:v>Your aim</c:v>
              </c:pt>
              <c:pt idx="3">
                <c:v>You</c:v>
              </c:pt>
            </c:strLit>
          </c:cat>
          <c:val>
            <c:numRef>
              <c:f>Calculator!$C$10:$F$10</c:f>
              <c:numCache>
                <c:formatCode>General</c:formatCode>
                <c:ptCount val="4"/>
                <c:pt idx="0" formatCode="0.0">
                  <c:v>2</c:v>
                </c:pt>
                <c:pt idx="3" formatCode="0.0">
                  <c:v>0</c:v>
                </c:pt>
              </c:numCache>
            </c:numRef>
          </c:val>
        </c:ser>
        <c:ser>
          <c:idx val="5"/>
          <c:order val="2"/>
          <c:tx>
            <c:strRef>
              <c:f>Figures!$A$7</c:f>
              <c:strCache>
                <c:ptCount val="1"/>
                <c:pt idx="0">
                  <c:v>Flights &amp; Boats</c:v>
                </c:pt>
              </c:strCache>
            </c:strRef>
          </c:tx>
          <c:spPr>
            <a:solidFill>
              <a:srgbClr val="406680"/>
            </a:solidFill>
            <a:ln>
              <a:noFill/>
            </a:ln>
            <a:effectLst/>
          </c:spPr>
          <c:invertIfNegative val="0"/>
          <c:cat>
            <c:strLit>
              <c:ptCount val="4"/>
              <c:pt idx="0">
                <c:v>UK Average</c:v>
              </c:pt>
              <c:pt idx="1">
                <c:v>Targets</c:v>
              </c:pt>
              <c:pt idx="2">
                <c:v>Your aim</c:v>
              </c:pt>
              <c:pt idx="3">
                <c:v>You</c:v>
              </c:pt>
            </c:strLit>
          </c:cat>
          <c:val>
            <c:numRef>
              <c:f>Calculator!$C$9:$F$9</c:f>
              <c:numCache>
                <c:formatCode>General</c:formatCode>
                <c:ptCount val="4"/>
                <c:pt idx="0" formatCode="0.0">
                  <c:v>1.83</c:v>
                </c:pt>
                <c:pt idx="3" formatCode="0.0">
                  <c:v>0</c:v>
                </c:pt>
              </c:numCache>
            </c:numRef>
          </c:val>
        </c:ser>
        <c:ser>
          <c:idx val="4"/>
          <c:order val="3"/>
          <c:tx>
            <c:strRef>
              <c:f>Figures!$A$6</c:f>
              <c:strCache>
                <c:ptCount val="1"/>
                <c:pt idx="0">
                  <c:v>Public Transport</c:v>
                </c:pt>
              </c:strCache>
            </c:strRef>
          </c:tx>
          <c:spPr>
            <a:solidFill>
              <a:srgbClr val="709BB8"/>
            </a:solidFill>
            <a:ln>
              <a:noFill/>
            </a:ln>
            <a:effectLst/>
          </c:spPr>
          <c:invertIfNegative val="0"/>
          <c:cat>
            <c:strLit>
              <c:ptCount val="4"/>
              <c:pt idx="0">
                <c:v>UK Average</c:v>
              </c:pt>
              <c:pt idx="1">
                <c:v>Targets</c:v>
              </c:pt>
              <c:pt idx="2">
                <c:v>Your aim</c:v>
              </c:pt>
              <c:pt idx="3">
                <c:v>You</c:v>
              </c:pt>
            </c:strLit>
          </c:cat>
          <c:val>
            <c:numRef>
              <c:f>Calculator!$C$8:$F$8</c:f>
              <c:numCache>
                <c:formatCode>General</c:formatCode>
                <c:ptCount val="4"/>
                <c:pt idx="0" formatCode="0.0">
                  <c:v>0.19</c:v>
                </c:pt>
                <c:pt idx="3" formatCode="0.0">
                  <c:v>0</c:v>
                </c:pt>
              </c:numCache>
            </c:numRef>
          </c:val>
        </c:ser>
        <c:ser>
          <c:idx val="3"/>
          <c:order val="4"/>
          <c:tx>
            <c:strRef>
              <c:f>Figures!$A$5</c:f>
              <c:strCache>
                <c:ptCount val="1"/>
                <c:pt idx="0">
                  <c:v>Personal Transport</c:v>
                </c:pt>
              </c:strCache>
            </c:strRef>
          </c:tx>
          <c:spPr>
            <a:solidFill>
              <a:srgbClr val="5081A2"/>
            </a:solidFill>
            <a:ln>
              <a:noFill/>
            </a:ln>
            <a:effectLst/>
          </c:spPr>
          <c:invertIfNegative val="0"/>
          <c:cat>
            <c:strLit>
              <c:ptCount val="4"/>
              <c:pt idx="0">
                <c:v>UK Average</c:v>
              </c:pt>
              <c:pt idx="1">
                <c:v>Targets</c:v>
              </c:pt>
              <c:pt idx="2">
                <c:v>Your aim</c:v>
              </c:pt>
              <c:pt idx="3">
                <c:v>You</c:v>
              </c:pt>
            </c:strLit>
          </c:cat>
          <c:val>
            <c:numRef>
              <c:f>Calculator!$C$7:$F$7</c:f>
              <c:numCache>
                <c:formatCode>General</c:formatCode>
                <c:ptCount val="4"/>
                <c:pt idx="0" formatCode="0.0">
                  <c:v>1.3</c:v>
                </c:pt>
                <c:pt idx="3" formatCode="0.0">
                  <c:v>0</c:v>
                </c:pt>
              </c:numCache>
            </c:numRef>
          </c:val>
        </c:ser>
        <c:ser>
          <c:idx val="7"/>
          <c:order val="5"/>
          <c:tx>
            <c:strRef>
              <c:f>Figures!$A$9</c:f>
              <c:strCache>
                <c:ptCount val="1"/>
                <c:pt idx="0">
                  <c:v>Stuff</c:v>
                </c:pt>
              </c:strCache>
            </c:strRef>
          </c:tx>
          <c:spPr>
            <a:solidFill>
              <a:srgbClr val="FBA629"/>
            </a:solidFill>
            <a:ln>
              <a:noFill/>
            </a:ln>
            <a:effectLst/>
          </c:spPr>
          <c:invertIfNegative val="0"/>
          <c:cat>
            <c:strLit>
              <c:ptCount val="4"/>
              <c:pt idx="0">
                <c:v>UK Average</c:v>
              </c:pt>
              <c:pt idx="1">
                <c:v>Targets</c:v>
              </c:pt>
              <c:pt idx="2">
                <c:v>Your aim</c:v>
              </c:pt>
              <c:pt idx="3">
                <c:v>You</c:v>
              </c:pt>
            </c:strLit>
          </c:cat>
          <c:val>
            <c:numRef>
              <c:f>Calculator!$C$11:$F$11</c:f>
              <c:numCache>
                <c:formatCode>General</c:formatCode>
                <c:ptCount val="4"/>
                <c:pt idx="0" formatCode="0.0">
                  <c:v>2.9649999999999999</c:v>
                </c:pt>
                <c:pt idx="3" formatCode="0.0">
                  <c:v>0</c:v>
                </c:pt>
              </c:numCache>
            </c:numRef>
          </c:val>
        </c:ser>
        <c:ser>
          <c:idx val="2"/>
          <c:order val="6"/>
          <c:tx>
            <c:strRef>
              <c:f>Figures!$A$4</c:f>
              <c:strCache>
                <c:ptCount val="1"/>
                <c:pt idx="0">
                  <c:v>House fabric</c:v>
                </c:pt>
              </c:strCache>
            </c:strRef>
          </c:tx>
          <c:spPr>
            <a:solidFill>
              <a:srgbClr val="FDC777"/>
            </a:solidFill>
            <a:ln>
              <a:noFill/>
            </a:ln>
            <a:effectLst/>
          </c:spPr>
          <c:invertIfNegative val="0"/>
          <c:cat>
            <c:strLit>
              <c:ptCount val="4"/>
              <c:pt idx="0">
                <c:v>UK Average</c:v>
              </c:pt>
              <c:pt idx="1">
                <c:v>Targets</c:v>
              </c:pt>
              <c:pt idx="2">
                <c:v>Your aim</c:v>
              </c:pt>
              <c:pt idx="3">
                <c:v>You</c:v>
              </c:pt>
            </c:strLit>
          </c:cat>
          <c:val>
            <c:numRef>
              <c:f>Calculator!$C$6:$F$6</c:f>
              <c:numCache>
                <c:formatCode>General</c:formatCode>
                <c:ptCount val="4"/>
                <c:pt idx="0" formatCode="0.0">
                  <c:v>0.34500000000000003</c:v>
                </c:pt>
                <c:pt idx="3" formatCode="0.0">
                  <c:v>0</c:v>
                </c:pt>
              </c:numCache>
            </c:numRef>
          </c:val>
        </c:ser>
        <c:ser>
          <c:idx val="1"/>
          <c:order val="7"/>
          <c:tx>
            <c:strRef>
              <c:f>Figures!$A$3</c:f>
              <c:strCache>
                <c:ptCount val="1"/>
                <c:pt idx="0">
                  <c:v>Electricity</c:v>
                </c:pt>
              </c:strCache>
            </c:strRef>
          </c:tx>
          <c:spPr>
            <a:solidFill>
              <a:srgbClr val="7CCE86"/>
            </a:solidFill>
            <a:ln>
              <a:noFill/>
            </a:ln>
            <a:effectLst/>
          </c:spPr>
          <c:invertIfNegative val="0"/>
          <c:cat>
            <c:strLit>
              <c:ptCount val="4"/>
              <c:pt idx="0">
                <c:v>UK Average</c:v>
              </c:pt>
              <c:pt idx="1">
                <c:v>Targets</c:v>
              </c:pt>
              <c:pt idx="2">
                <c:v>Your aim</c:v>
              </c:pt>
              <c:pt idx="3">
                <c:v>You</c:v>
              </c:pt>
            </c:strLit>
          </c:cat>
          <c:val>
            <c:numRef>
              <c:f>Calculator!$C$5:$F$5</c:f>
              <c:numCache>
                <c:formatCode>General</c:formatCode>
                <c:ptCount val="4"/>
                <c:pt idx="0" formatCode="0.0">
                  <c:v>0.499</c:v>
                </c:pt>
                <c:pt idx="3" formatCode="0.0">
                  <c:v>0</c:v>
                </c:pt>
              </c:numCache>
            </c:numRef>
          </c:val>
        </c:ser>
        <c:ser>
          <c:idx val="0"/>
          <c:order val="8"/>
          <c:tx>
            <c:strRef>
              <c:f>Figures!$A$2</c:f>
              <c:strCache>
                <c:ptCount val="1"/>
                <c:pt idx="0">
                  <c:v>Heating</c:v>
                </c:pt>
              </c:strCache>
            </c:strRef>
          </c:tx>
          <c:spPr>
            <a:solidFill>
              <a:srgbClr val="E67676"/>
            </a:solidFill>
            <a:ln>
              <a:noFill/>
            </a:ln>
            <a:effectLst/>
          </c:spPr>
          <c:invertIfNegative val="0"/>
          <c:cat>
            <c:strLit>
              <c:ptCount val="4"/>
              <c:pt idx="0">
                <c:v>UK Average</c:v>
              </c:pt>
              <c:pt idx="1">
                <c:v>Targets</c:v>
              </c:pt>
              <c:pt idx="2">
                <c:v>Your aim</c:v>
              </c:pt>
              <c:pt idx="3">
                <c:v>You</c:v>
              </c:pt>
            </c:strLit>
          </c:cat>
          <c:val>
            <c:numRef>
              <c:f>Calculator!$C$4:$F$4</c:f>
              <c:numCache>
                <c:formatCode>General</c:formatCode>
                <c:ptCount val="4"/>
                <c:pt idx="0" formatCode="0.0">
                  <c:v>2.1</c:v>
                </c:pt>
                <c:pt idx="3" formatCode="0.0">
                  <c:v>0</c:v>
                </c:pt>
              </c:numCache>
            </c:numRef>
          </c:val>
        </c:ser>
        <c:ser>
          <c:idx val="9"/>
          <c:order val="9"/>
          <c:tx>
            <c:v>Global LT</c:v>
          </c:tx>
          <c:spPr>
            <a:pattFill prst="dkUpDiag">
              <a:fgClr>
                <a:schemeClr val="accent3">
                  <a:lumMod val="50000"/>
                </a:schemeClr>
              </a:fgClr>
              <a:bgClr>
                <a:schemeClr val="bg1"/>
              </a:bgClr>
            </a:pattFill>
            <a:ln>
              <a:noFill/>
            </a:ln>
            <a:effectLst/>
          </c:spPr>
          <c:invertIfNegative val="0"/>
          <c:cat>
            <c:strLit>
              <c:ptCount val="4"/>
              <c:pt idx="0">
                <c:v>UK Average</c:v>
              </c:pt>
              <c:pt idx="1">
                <c:v>Targets</c:v>
              </c:pt>
              <c:pt idx="2">
                <c:v>Your aim</c:v>
              </c:pt>
              <c:pt idx="3">
                <c:v>You</c:v>
              </c:pt>
            </c:strLit>
          </c:cat>
          <c:val>
            <c:numRef>
              <c:f>Calculator!$C$15:$F$15</c:f>
              <c:numCache>
                <c:formatCode>General</c:formatCode>
                <c:ptCount val="4"/>
                <c:pt idx="1">
                  <c:v>0.5</c:v>
                </c:pt>
              </c:numCache>
            </c:numRef>
          </c:val>
        </c:ser>
        <c:ser>
          <c:idx val="10"/>
          <c:order val="10"/>
          <c:tx>
            <c:v>UK MT</c:v>
          </c:tx>
          <c:spPr>
            <a:pattFill prst="dkUpDiag">
              <a:fgClr>
                <a:schemeClr val="accent3"/>
              </a:fgClr>
              <a:bgClr>
                <a:schemeClr val="bg1"/>
              </a:bgClr>
            </a:pattFill>
            <a:ln>
              <a:noFill/>
            </a:ln>
            <a:effectLst/>
          </c:spPr>
          <c:invertIfNegative val="0"/>
          <c:cat>
            <c:strLit>
              <c:ptCount val="4"/>
              <c:pt idx="0">
                <c:v>UK Average</c:v>
              </c:pt>
              <c:pt idx="1">
                <c:v>Targets</c:v>
              </c:pt>
              <c:pt idx="2">
                <c:v>Your aim</c:v>
              </c:pt>
              <c:pt idx="3">
                <c:v>You</c:v>
              </c:pt>
            </c:strLit>
          </c:cat>
          <c:val>
            <c:numRef>
              <c:f>Calculator!$C$16:$F$16</c:f>
              <c:numCache>
                <c:formatCode>General</c:formatCode>
                <c:ptCount val="4"/>
                <c:pt idx="1">
                  <c:v>1.7</c:v>
                </c:pt>
              </c:numCache>
            </c:numRef>
          </c:val>
        </c:ser>
        <c:dLbls>
          <c:showLegendKey val="0"/>
          <c:showVal val="0"/>
          <c:showCatName val="0"/>
          <c:showSerName val="0"/>
          <c:showPercent val="0"/>
          <c:showBubbleSize val="0"/>
        </c:dLbls>
        <c:gapWidth val="150"/>
        <c:overlap val="100"/>
        <c:axId val="499459648"/>
        <c:axId val="499459256"/>
      </c:barChart>
      <c:catAx>
        <c:axId val="499459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9459256"/>
        <c:crosses val="autoZero"/>
        <c:auto val="1"/>
        <c:lblAlgn val="ctr"/>
        <c:lblOffset val="100"/>
        <c:noMultiLvlLbl val="0"/>
      </c:catAx>
      <c:valAx>
        <c:axId val="4994592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tonnesCO</a:t>
                </a:r>
                <a:r>
                  <a:rPr lang="en-GB" sz="600"/>
                  <a:t>2</a:t>
                </a:r>
                <a:r>
                  <a:rPr lang="en-GB"/>
                  <a:t>e</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9459648"/>
        <c:crosses val="autoZero"/>
        <c:crossBetween val="between"/>
      </c:valAx>
      <c:spPr>
        <a:noFill/>
        <a:ln>
          <a:noFill/>
        </a:ln>
        <a:effectLst/>
      </c:spPr>
    </c:plotArea>
    <c:legend>
      <c:legendPos val="b"/>
      <c:legendEntry>
        <c:idx val="9"/>
        <c:delete val="1"/>
      </c:legendEntry>
      <c:legendEntry>
        <c:idx val="10"/>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1</xdr:rowOff>
    </xdr:from>
    <xdr:to>
      <xdr:col>1</xdr:col>
      <xdr:colOff>3638550</xdr:colOff>
      <xdr:row>14</xdr:row>
      <xdr:rowOff>1</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tabSelected="1" zoomScaleNormal="100" workbookViewId="0">
      <pane ySplit="14" topLeftCell="A23" activePane="bottomLeft" state="frozen"/>
      <selection pane="bottomLeft" activeCell="C27" sqref="C27"/>
    </sheetView>
  </sheetViews>
  <sheetFormatPr defaultRowHeight="15" x14ac:dyDescent="0.25"/>
  <cols>
    <col min="1" max="1" width="3.42578125" customWidth="1"/>
    <col min="2" max="2" width="76.140625" customWidth="1"/>
    <col min="4" max="4" width="14.85546875" bestFit="1" customWidth="1"/>
    <col min="5" max="5" width="39.28515625" bestFit="1" customWidth="1"/>
    <col min="7" max="7" width="9.140625" customWidth="1"/>
  </cols>
  <sheetData>
    <row r="1" spans="2:7" x14ac:dyDescent="0.25">
      <c r="B1" t="s">
        <v>319</v>
      </c>
      <c r="D1" t="s">
        <v>274</v>
      </c>
    </row>
    <row r="2" spans="2:7" x14ac:dyDescent="0.25">
      <c r="B2" s="14"/>
      <c r="C2" t="s">
        <v>207</v>
      </c>
      <c r="D2" t="s">
        <v>275</v>
      </c>
      <c r="G2" t="s">
        <v>200</v>
      </c>
    </row>
    <row r="3" spans="2:7" x14ac:dyDescent="0.25">
      <c r="C3" t="s">
        <v>208</v>
      </c>
      <c r="D3" t="s">
        <v>276</v>
      </c>
      <c r="E3" t="s">
        <v>258</v>
      </c>
      <c r="F3" t="s">
        <v>230</v>
      </c>
    </row>
    <row r="4" spans="2:7" x14ac:dyDescent="0.25">
      <c r="B4" t="str">
        <f>"                                                                                                                                     "&amp;Figures!A2</f>
        <v xml:space="preserve">                                                                                                                                     Heating</v>
      </c>
      <c r="C4" s="4">
        <f>Figures!C2*0.001</f>
        <v>2.1</v>
      </c>
      <c r="E4" s="21"/>
      <c r="F4" s="4">
        <f>SUM(F29:F33)*0.001</f>
        <v>0</v>
      </c>
    </row>
    <row r="5" spans="2:7" x14ac:dyDescent="0.25">
      <c r="B5" t="str">
        <f>"                                                                                                                                     "&amp;Figures!A3</f>
        <v xml:space="preserve">                                                                                                                                     Electricity</v>
      </c>
      <c r="C5" s="4">
        <f>Figures!C3*0.001</f>
        <v>0.499</v>
      </c>
      <c r="E5" s="21"/>
      <c r="F5" s="4">
        <f>SUM(F34:F34)*0.001</f>
        <v>0</v>
      </c>
    </row>
    <row r="6" spans="2:7" x14ac:dyDescent="0.25">
      <c r="B6" t="str">
        <f>"                                                                                                                                     "&amp;Figures!A4</f>
        <v xml:space="preserve">                                                                                                                                     House fabric</v>
      </c>
      <c r="C6" s="4">
        <f>Figures!C4*0.001</f>
        <v>0.34500000000000003</v>
      </c>
      <c r="E6" s="21"/>
      <c r="F6" s="4">
        <f>SUM(F35:F35)*0.001</f>
        <v>0</v>
      </c>
    </row>
    <row r="7" spans="2:7" x14ac:dyDescent="0.25">
      <c r="B7" t="str">
        <f>"                                                                                                                                     "&amp;Figures!A5</f>
        <v xml:space="preserve">                                                                                                                                     Personal Transport</v>
      </c>
      <c r="C7" s="4">
        <f>Figures!C5*0.001</f>
        <v>1.3</v>
      </c>
      <c r="E7" s="21"/>
      <c r="F7" s="4">
        <f>SUM(F42:F43)*0.001</f>
        <v>0</v>
      </c>
    </row>
    <row r="8" spans="2:7" x14ac:dyDescent="0.25">
      <c r="B8" t="str">
        <f>"                                                                                                                                     "&amp;Figures!A6</f>
        <v xml:space="preserve">                                                                                                                                     Public Transport</v>
      </c>
      <c r="C8" s="4">
        <f>Figures!C6*0.001</f>
        <v>0.19</v>
      </c>
      <c r="E8" s="21"/>
      <c r="F8" s="4">
        <f>SUM(F44:F47)*0.001</f>
        <v>0</v>
      </c>
    </row>
    <row r="9" spans="2:7" x14ac:dyDescent="0.25">
      <c r="B9" t="str">
        <f>"                                                                                                                                     "&amp;Figures!A7</f>
        <v xml:space="preserve">                                                                                                                                     Flights &amp; Boats</v>
      </c>
      <c r="C9" s="4">
        <f>Figures!C7*0.001</f>
        <v>1.83</v>
      </c>
      <c r="E9" s="21"/>
      <c r="F9" s="4">
        <f>SUM(F48:F62)*0.001</f>
        <v>0</v>
      </c>
    </row>
    <row r="10" spans="2:7" x14ac:dyDescent="0.25">
      <c r="B10" t="str">
        <f>"                                                                                                                                     "&amp;Figures!A8</f>
        <v xml:space="preserve">                                                                                                                                     Food</v>
      </c>
      <c r="C10" s="4">
        <f>Figures!C8*0.001</f>
        <v>2</v>
      </c>
      <c r="E10" s="21"/>
      <c r="F10" s="4">
        <f>SUM(F66:F75)*0.001</f>
        <v>0</v>
      </c>
    </row>
    <row r="11" spans="2:7" x14ac:dyDescent="0.25">
      <c r="B11" t="str">
        <f>"                                                                                                                                     "&amp;Figures!A9</f>
        <v xml:space="preserve">                                                                                                                                     Stuff</v>
      </c>
      <c r="C11" s="4">
        <f>Figures!C9*0.001</f>
        <v>2.9649999999999999</v>
      </c>
      <c r="E11" s="21"/>
      <c r="F11" s="4">
        <f>SUM(F80:F82)*0.001</f>
        <v>0</v>
      </c>
    </row>
    <row r="12" spans="2:7" x14ac:dyDescent="0.25">
      <c r="B12" t="str">
        <f>"                                                                                                                                     "&amp;Figures!A10</f>
        <v xml:space="preserve">                                                                                                                                     Other</v>
      </c>
      <c r="C12" s="4">
        <f>Figures!C10*0.001</f>
        <v>0</v>
      </c>
      <c r="E12" s="21"/>
      <c r="F12" s="24">
        <v>0</v>
      </c>
    </row>
    <row r="13" spans="2:7" x14ac:dyDescent="0.25">
      <c r="B13" t="str">
        <f>"                                                                                                                                     "&amp;Figures!A11</f>
        <v xml:space="preserve">                                                                                                                                     Government</v>
      </c>
      <c r="C13" s="4">
        <f>Figures!C11*0.001</f>
        <v>1</v>
      </c>
      <c r="E13" s="21"/>
      <c r="F13" s="4">
        <f>Figures!C11*0.001</f>
        <v>1</v>
      </c>
    </row>
    <row r="14" spans="2:7" s="10" customFormat="1" x14ac:dyDescent="0.25">
      <c r="B14" s="10" t="str">
        <f>"                                                                                                                                     "&amp;Figures!A12</f>
        <v xml:space="preserve">                                                                                                                                     TOTAL</v>
      </c>
      <c r="C14" s="11">
        <f>Figures!C12*0.001</f>
        <v>12.229000000000001</v>
      </c>
      <c r="D14" s="17" t="s">
        <v>279</v>
      </c>
      <c r="E14" s="11">
        <f>SUM(E4:E13)</f>
        <v>0</v>
      </c>
      <c r="F14" s="11">
        <f>SUM(F4:F13)</f>
        <v>1</v>
      </c>
    </row>
    <row r="15" spans="2:7" s="10" customFormat="1" x14ac:dyDescent="0.25">
      <c r="C15" s="11"/>
      <c r="D15" s="18">
        <v>0.5</v>
      </c>
      <c r="E15" s="11"/>
      <c r="F15" s="11"/>
    </row>
    <row r="16" spans="2:7" x14ac:dyDescent="0.25">
      <c r="D16" s="18">
        <v>1.7</v>
      </c>
    </row>
    <row r="17" spans="1:7" ht="84.75" customHeight="1" x14ac:dyDescent="0.25">
      <c r="B17" s="34" t="s">
        <v>231</v>
      </c>
      <c r="C17" s="34"/>
      <c r="D17" s="34"/>
      <c r="E17" s="34"/>
      <c r="F17" s="34"/>
      <c r="G17" s="34"/>
    </row>
    <row r="18" spans="1:7" ht="53.25" customHeight="1" x14ac:dyDescent="0.25">
      <c r="B18" s="35" t="s">
        <v>232</v>
      </c>
      <c r="C18" s="35"/>
      <c r="D18" s="35"/>
      <c r="E18" s="35"/>
      <c r="F18" s="35"/>
      <c r="G18" s="35"/>
    </row>
    <row r="19" spans="1:7" ht="81.75" customHeight="1" x14ac:dyDescent="0.25">
      <c r="B19" s="35" t="s">
        <v>297</v>
      </c>
      <c r="C19" s="35"/>
      <c r="D19" s="35"/>
      <c r="E19" s="35"/>
      <c r="F19" s="35"/>
      <c r="G19" s="35"/>
    </row>
    <row r="20" spans="1:7" ht="70.5" customHeight="1" x14ac:dyDescent="0.25">
      <c r="B20" s="35" t="s">
        <v>233</v>
      </c>
      <c r="C20" s="35"/>
      <c r="D20" s="35"/>
      <c r="E20" s="35"/>
      <c r="F20" s="35"/>
      <c r="G20" s="35"/>
    </row>
    <row r="21" spans="1:7" ht="24.75" customHeight="1" x14ac:dyDescent="0.25">
      <c r="B21" s="35" t="s">
        <v>298</v>
      </c>
      <c r="C21" s="35"/>
      <c r="D21" s="35"/>
      <c r="E21" s="35"/>
      <c r="F21" s="35"/>
      <c r="G21" s="35"/>
    </row>
    <row r="22" spans="1:7" ht="24" customHeight="1" x14ac:dyDescent="0.25">
      <c r="B22" s="35" t="s">
        <v>228</v>
      </c>
      <c r="C22" s="35"/>
      <c r="D22" s="35"/>
      <c r="E22" s="35"/>
      <c r="F22" s="35"/>
      <c r="G22" s="35"/>
    </row>
    <row r="23" spans="1:7" ht="15" customHeight="1" x14ac:dyDescent="0.25">
      <c r="B23" s="33" t="s">
        <v>304</v>
      </c>
      <c r="C23" s="33"/>
      <c r="D23" s="33"/>
      <c r="E23" s="19"/>
      <c r="F23" s="19"/>
      <c r="G23" s="19"/>
    </row>
    <row r="25" spans="1:7" x14ac:dyDescent="0.25">
      <c r="B25" t="s">
        <v>145</v>
      </c>
      <c r="C25" t="s">
        <v>162</v>
      </c>
      <c r="D25" t="s">
        <v>163</v>
      </c>
      <c r="E25" t="s">
        <v>161</v>
      </c>
      <c r="F25" t="s">
        <v>164</v>
      </c>
      <c r="G25" t="s">
        <v>151</v>
      </c>
    </row>
    <row r="27" spans="1:7" x14ac:dyDescent="0.25">
      <c r="B27" t="str">
        <f>Figures!D16</f>
        <v>1. How many people live in your home?</v>
      </c>
      <c r="C27" s="21"/>
      <c r="F27" s="10"/>
      <c r="G27" s="23" t="str">
        <f>Figures!H16</f>
        <v>This number is used to divide your household footprint in to a 'per person' figure.  Remember that any action you take to reduce any of these household figures has the added benefit of reducing the footprint of the other people who live there as well as your own</v>
      </c>
    </row>
    <row r="28" spans="1:7" x14ac:dyDescent="0.25">
      <c r="B28" t="str">
        <f>Figures!D17</f>
        <v xml:space="preserve">2. How much of your house is used to work from home? </v>
      </c>
      <c r="C28" s="21"/>
      <c r="D28" t="str">
        <f>Figures!E17</f>
        <v>%</v>
      </c>
      <c r="F28" s="10"/>
      <c r="G28" s="23" t="str">
        <f>Figures!H17</f>
        <v>Base this on a proportion of the space and time you use the house for.  e.g. 12 % if you have a dedicated home office that is 10 % of the house footprint, plus a bit of allowance for other bits like the loo and kitchen, or maybe 6 % if you use the dining room as an office just as often as you do as a dining room and its 10 % of the house, again allowing a bit for other parts of the house used to a lesser extent.  We will ignore the proportion of your home you use for work as this calculator is all about you personal footprint.  You don't need to include any work emissions as these are part of other consumers footprints' using this method</v>
      </c>
    </row>
    <row r="29" spans="1:7" x14ac:dyDescent="0.25">
      <c r="A29" s="25"/>
      <c r="B29" t="str">
        <f>Figures!D21</f>
        <v>3. How much gas does your home use?</v>
      </c>
      <c r="C29" s="21"/>
      <c r="D29" s="21" t="s">
        <v>150</v>
      </c>
      <c r="E29" t="str">
        <f>_xlfn.IFNA(IF(C27&gt;0, "     x "&amp;INDEX(Figures!F22:F27, MATCH(Calculator!D29, Figures!E22:E27, 0))&amp;" "&amp;INDEX(Figures!G22:G27, MATCH(Calculator!D29, Figures!E22:E27, 0))&amp;" x "&amp;100-C28&amp;" % / "&amp;C27&amp;" =", ""), "")</f>
        <v/>
      </c>
      <c r="F29" s="20" t="str">
        <f>IFERROR(IF(C27&gt;0, C29*INDEX(Figures!F22:F27, MATCH(Calculator!D29, Figures!E22:E27, 0))*((100-C28)/100)/C27, ""), "")</f>
        <v/>
      </c>
      <c r="G29" s="23" t="str">
        <f>Figures!H21</f>
        <v>Find this by subtracting two meter readings a year apart</v>
      </c>
    </row>
    <row r="30" spans="1:7" x14ac:dyDescent="0.25">
      <c r="A30" s="25"/>
      <c r="B30" t="str">
        <f>Figures!D28</f>
        <v>4. How much heating oil does your home use?</v>
      </c>
      <c r="C30" s="21"/>
      <c r="D30" s="21" t="s">
        <v>150</v>
      </c>
      <c r="E30" t="str">
        <f>_xlfn.IFNA(IF(C27&gt;0, "     x "&amp;INDEX(Figures!F29:F31, MATCH(Calculator!D30, Figures!E29:E31, 0))&amp;" "&amp;INDEX(Figures!G29:G31, MATCH(Calculator!D30, Figures!E29:E31, 0))&amp;" x "&amp;100-C28&amp;" % / "&amp;C27&amp;" =", ""), "")</f>
        <v/>
      </c>
      <c r="F30" s="10" t="str">
        <f>IFERROR(IF(C27&gt;0, C30*INDEX(Figures!F29:F31, MATCH(Calculator!D30, Figures!E29:E31, 0))*((100-C28)/100)/C27, ""), "")</f>
        <v/>
      </c>
    </row>
    <row r="31" spans="1:7" x14ac:dyDescent="0.25">
      <c r="A31" s="25"/>
      <c r="B31" t="str">
        <f>Figures!D32</f>
        <v>5. How much house coal does your home use?</v>
      </c>
      <c r="C31" s="21"/>
      <c r="D31" s="21" t="s">
        <v>150</v>
      </c>
      <c r="E31" t="str">
        <f>_xlfn.IFNA(IF(C27&gt;0, "     x "&amp;INDEX(Figures!F33:F36, MATCH(Calculator!D31, Figures!E33:E36, 0))&amp;" "&amp;INDEX(Figures!G33:G36, MATCH(Calculator!D31, Figures!E33:E36, 0))&amp;" x "&amp;100-C28&amp;" % / "&amp;C27&amp;" =", ""), "")</f>
        <v/>
      </c>
      <c r="F31" s="20" t="str">
        <f>IFERROR(IF(C27&gt;0, C31*INDEX(Figures!F33:F36, MATCH(Calculator!D31, Figures!E33:E36, 0))*((100-C28)/100)/C27, ""), "")</f>
        <v/>
      </c>
    </row>
    <row r="32" spans="1:7" x14ac:dyDescent="0.25">
      <c r="A32" s="25"/>
      <c r="B32" t="str">
        <f>Figures!D37</f>
        <v>6. How much wood does your home use?  (Logs, chips or pellets)</v>
      </c>
      <c r="C32" s="21"/>
      <c r="D32" s="21" t="s">
        <v>150</v>
      </c>
      <c r="E32" t="str">
        <f>_xlfn.IFNA(IF(C27&gt;0, "     x "&amp;INDEX(Figures!F38:F41, MATCH(Calculator!D32, Figures!E38:E41, 0))&amp;" "&amp;INDEX(Figures!G38:G41, MATCH(Calculator!D32, Figures!E38:E41, 0))&amp;" x "&amp;100-C28&amp;" % / "&amp;C27&amp;" =", ""), "")</f>
        <v/>
      </c>
      <c r="F32" s="20" t="str">
        <f>IFERROR(IF(C27&gt;0, C32*INDEX(Figures!F38:F41, MATCH(Calculator!D32, Figures!E38:E41, 0))*((100-C28)/100)/C27, ""), "")</f>
        <v/>
      </c>
    </row>
    <row r="33" spans="1:7" x14ac:dyDescent="0.25">
      <c r="A33" s="25"/>
      <c r="B33" t="str">
        <f>Figures!D42</f>
        <v>7. How much solar thermal does your home use / have?</v>
      </c>
      <c r="C33" s="21"/>
      <c r="D33" s="21" t="s">
        <v>150</v>
      </c>
      <c r="E33" t="str">
        <f>_xlfn.IFNA(IF(C27&gt;0, "     x "&amp;INDEX(Figures!F43:F46, MATCH(Calculator!D33, Figures!E43:E46, 0))&amp;" "&amp;INDEX(Figures!G43:G46, MATCH(Calculator!D33, Figures!E43:E46, 0))&amp;" x "&amp;100-C28&amp;" % / "&amp;C27&amp;" =", ""), "")</f>
        <v/>
      </c>
      <c r="F33" s="20" t="str">
        <f>IFERROR(IF(C27&gt;0, C33*INDEX(Figures!F43:F46, MATCH(Calculator!D33, Figures!E43:E46, 0))*((100-C28)/100)/C27, ""), "")</f>
        <v/>
      </c>
    </row>
    <row r="34" spans="1:7" x14ac:dyDescent="0.25">
      <c r="A34" s="26"/>
      <c r="B34" t="str">
        <f>Figures!D48</f>
        <v>8. How much electricity does your home use?</v>
      </c>
      <c r="C34" s="21"/>
      <c r="D34" s="21" t="s">
        <v>150</v>
      </c>
      <c r="E34" t="str">
        <f>_xlfn.IFNA(IF(C27&gt;0, "     x "&amp;INDEX(Figures!F49:F50, MATCH(Calculator!D34, Figures!E49:E50, 0))&amp;" "&amp;INDEX(Figures!G49:G50, MATCH(Calculator!D34, Figures!E49:E50, 0))&amp;" x "&amp;100-C28&amp;" % / "&amp;C27&amp;" =", ""), "")</f>
        <v/>
      </c>
      <c r="F34" s="20" t="str">
        <f>IFERROR(IF(C27&gt;0, C34*INDEX(Figures!F49:F50, MATCH(Calculator!D34, Figures!E49:E50, 0))*((100-C28)/100)/C27, ""), "")</f>
        <v/>
      </c>
      <c r="G34" s="23" t="str">
        <f>Figures!H48</f>
        <v xml:space="preserve">Find this by subtracting two meter readings a year apart.  Do not include electricity used to charge your electric car - this is included below.  Note this includes 'green' or conventional power.  Electricity from a green supplier is commonly claimed to have zero carbon foot print.  This is doubly untrue: energy from all current sources has a carbon footprint, primarily from embedded emissions for renewables (typically 50 gCO2e/kWh - a big improvement but not zero);  more importantly buying from a 'green' supplier does not presently increase generation of renewable energy in the UK as supply is significantly greater than demand, green suppliers also commonly re-sell the certificate of green productions  to other suppliers.  Duly buying from a green supplier has negligible net effect.  This is not to say don't buy from a green supplier, there are still benefits, just not as large as their marketing may have you believe.  See 'How Bad are Bananas', 'Carbon Detox',  https://www.ethicalconsumer.org/energy/do-green-tariffs-make-difference or search online for a full explanation.  Similarly, producing renewables at home with PV or similar has little personal effect if you are grid connected as its benefit is in decarbonising the entire a little bit rather than your home individually.  In practice on site generation will reduce the power you buy in and you estimated footprint, which as the figures we are talking about are relatively small is a reasonable approximation to the benefit it brings on a household level.  </v>
      </c>
    </row>
    <row r="35" spans="1:7" x14ac:dyDescent="0.25">
      <c r="A35" s="31"/>
      <c r="B35" t="str">
        <f>Figures!D51</f>
        <v xml:space="preserve">9. How big is your house? </v>
      </c>
      <c r="C35" s="21"/>
      <c r="D35" t="str">
        <f>Figures!E51</f>
        <v>bed</v>
      </c>
      <c r="E35" t="str">
        <f>IF(C35&gt;0, "     x "&amp;Figures!F51&amp;" "&amp;Figures!G51&amp;" x "&amp;100-C28&amp;" % / "&amp;C27&amp;" =", "")</f>
        <v/>
      </c>
      <c r="F35" s="20" t="str">
        <f>IFERROR(IF(C35&gt;0, C35*Figures!F51*((100-C28)/100)/C27, ""), "")</f>
        <v/>
      </c>
    </row>
    <row r="37" spans="1:7" x14ac:dyDescent="0.25">
      <c r="B37" t="s">
        <v>146</v>
      </c>
      <c r="F37" s="10"/>
    </row>
    <row r="38" spans="1:7" x14ac:dyDescent="0.25">
      <c r="F38" s="10"/>
    </row>
    <row r="39" spans="1:7" x14ac:dyDescent="0.25">
      <c r="A39" s="28"/>
      <c r="B39" t="str">
        <f>Figures!D52</f>
        <v>1. What fuel does your car use?</v>
      </c>
      <c r="C39" s="1"/>
      <c r="D39" s="21" t="s">
        <v>150</v>
      </c>
      <c r="E39" t="str">
        <f>IFERROR("     = "&amp;INDEX(Figures!F53:F55, MATCH(Calculator!D39, Figures!E53:E55, 0))&amp;" "&amp;INDEX(Figures!G53:G55, MATCH(Calculator!D39, Figures!E53:E55, 0)), "")</f>
        <v/>
      </c>
      <c r="F39" s="10"/>
      <c r="G39" t="str">
        <f>Figures!H52</f>
        <v>Or van . . . or motorbike . . .  If you use a variety of vehicles answer for the one you travel the greatest distance in or calculate both and pop one of them in the 'Other' totals cell (F12) at the top</v>
      </c>
    </row>
    <row r="40" spans="1:7" x14ac:dyDescent="0.25">
      <c r="A40" s="28"/>
      <c r="B40" t="str">
        <f>Figures!D56</f>
        <v>2. What fuel economy do you get?</v>
      </c>
      <c r="C40" s="21"/>
      <c r="D40" s="21" t="s">
        <v>150</v>
      </c>
      <c r="E40" t="str">
        <f>IFERROR(IF(D40=Figures!E57,IF(D39=Figures!E55,"     &lt; Only use for petrol or diesel","     ("&amp;Figures!F57&amp;" / "&amp;Calculator!C40&amp;" "&amp;") x "&amp;INDEX(Figures!F53:F55,MATCH(Calculator!D39,Figures!E53:E55,0))&amp;" = "&amp;ROUND((Figures!F57/Calculator!C40)*INDEX(Figures!F53:F55,MATCH(Calculator!D39,Figures!E53:E55,0)),2)&amp;" kgCO2e/km"),IF(D40=Figures!E58,IF(D39=Figures!E55,"     x "&amp;INDEX(Figures!F53:F55,MATCH(Calculator!D39,Figures!E53:E55,0))&amp;" = "&amp;ROUND(C40*INDEX(Figures!F53:F55,MATCH(Calculator!D39,Figures!E53:E55,0)),2)&amp;" kgCO2e/km","     &lt;  Only used for electric vehicles"),IF(D40=Figures!E59,"     x "&amp;Figures!F59&amp;" = "&amp;C40*Figures!F59&amp;" kgCO2e/km",""))), "")</f>
        <v/>
      </c>
      <c r="F40" s="10"/>
    </row>
    <row r="41" spans="1:7" x14ac:dyDescent="0.25">
      <c r="A41" s="28"/>
      <c r="B41" t="str">
        <f>Figures!D60</f>
        <v>3. How many people are in it on average?</v>
      </c>
      <c r="C41" s="21"/>
      <c r="E41" t="str">
        <f>IFERROR(IF(D40=Figures!E57,IF(D39=Figures!E55,"","     "&amp;ROUND((Figures!F57/Calculator!C40)*INDEX(Figures!F53:F55,MATCH(Calculator!D39,Figures!E53:E55,0)),2)&amp;" / "&amp;C41&amp;" = "&amp;ROUND((Figures!F57/Calculator!C40)*INDEX(Figures!F53:F55,MATCH(Calculator!D39,Figures!E53:E55,0))/C41,2)&amp;" kgCO2e/km"),IF(D40=Figures!E58, "     "&amp;IF(D39=Figures!E55, ROUND(C40*INDEX(Figures!F53:F55,MATCH(Calculator!D39,Figures!E53:E55,0)),2)&amp;" / "&amp;C41&amp;" = "&amp;ROUND(C40*INDEX(Figures!F53:F55,MATCH(Calculator!D39,Figures!E53:E55,0))/C41,2)&amp;" kgCO2e/km",""),IF(D40=Figures!E59,"     "&amp;C40*Figures!F59&amp;" / "&amp;C41&amp;" = "&amp;ROUND(C40*Figures!F59/C41, 2)&amp;" kgCO2e/km",""))), "")</f>
        <v/>
      </c>
      <c r="F41" s="10"/>
      <c r="G41" t="str">
        <f>Figures!H60</f>
        <v>For example if there is 1 person half the time and about 2 people the other half enter 1.5</v>
      </c>
    </row>
    <row r="42" spans="1:7" x14ac:dyDescent="0.25">
      <c r="A42" s="28"/>
      <c r="B42" t="str">
        <f>Figures!D61</f>
        <v>4. How far do you travel by car? (not for work but inc. commuting)</v>
      </c>
      <c r="C42" s="21"/>
      <c r="D42" s="21" t="s">
        <v>150</v>
      </c>
      <c r="E42" t="str">
        <f>IFERROR("     x "&amp;INDEX(Figures!F62:F63,MATCH(Calculator!D42,Figures!E62:E63,0))&amp;IF(D40=Figures!E57,IF(D39=Figures!E55,""," x "&amp;ROUND((Figures!F57/Calculator!C40)*INDEX(Figures!F53:F55,MATCH(Calculator!D39,Figures!E53:E55,0))/C41,2)&amp;" = "),IF(D40=Figures!E58,IF(D39=Figures!E55," x "&amp;ROUND(C40*INDEX(Figures!F53:F55,MATCH(Calculator!D39,Figures!E53:E55,0))/C41,2)&amp;" = ",""),IF(D40=Figures!E59," x "&amp;ROUND(C40*Figures!F59/C41,2)&amp;" = ",""))), "")</f>
        <v/>
      </c>
      <c r="F42" s="10" t="str">
        <f>IFERROR(C42*INDEX(Figures!F62:F63,MATCH(Calculator!D42,Figures!E62:E63,0))*IF(D40=Figures!E57,IF(D39=Figures!E55,"",ROUND((Figures!F57/Calculator!C40)*INDEX(Figures!F53:F55,MATCH(Calculator!D39,Figures!E53:E55,0))/C41,2)),IF(D40=Figures!E58,IF(D39=Figures!E55, ROUND(C40*INDEX(Figures!F53:F55,MATCH(Calculator!D39,Figures!E53:E55,0))/C41,2),""),IF(D40=Figures!E59,ROUND(C40*Figures!F59/C41,2),""))), "")</f>
        <v/>
      </c>
      <c r="G42" t="str">
        <f>Figures!H61</f>
        <v>Include commuting, but not miles travelled for work.  This should be personal distance travelled by car (or van, or motorbike etc.) in your own, someone else's or hire vehicles.  If you're not sure how far you travel per year take a look at the mileage on old MOTs.  You can find them online by entering your registration number here: https://www.gov.uk/check-mot-history</v>
      </c>
    </row>
    <row r="43" spans="1:7" x14ac:dyDescent="0.25">
      <c r="A43" s="28"/>
      <c r="B43" t="str">
        <f>Figures!D64</f>
        <v>5. How much do you cycle?</v>
      </c>
      <c r="C43" s="21"/>
      <c r="D43" s="21" t="s">
        <v>150</v>
      </c>
      <c r="E43" t="str">
        <f>_xlfn.IFNA("     x "&amp;INDEX(Figures!F65:F67, MATCH(Calculator!D43, Figures!E65:E67, 0))&amp;" "&amp;INDEX(Figures!G65:G67, MATCH(Calculator!D43, Figures!E65:E67, 0))&amp;" =", "")</f>
        <v/>
      </c>
      <c r="F43" s="20" t="str">
        <f>IFERROR(C43*INDEX(Figures!F65:F67, MATCH(Calculator!D43, Figures!E65:E67, 0)), "")</f>
        <v/>
      </c>
    </row>
    <row r="44" spans="1:7" x14ac:dyDescent="0.25">
      <c r="A44" s="29"/>
      <c r="B44" t="str">
        <f>Figures!D68</f>
        <v>6. How much do you travel by train?</v>
      </c>
      <c r="C44" s="21"/>
      <c r="D44" s="21" t="s">
        <v>150</v>
      </c>
      <c r="E44" t="str">
        <f>_xlfn.IFNA("     x "&amp;INDEX(Figures!F69:F71, MATCH(Calculator!D44, Figures!E69:E71, 0))&amp;" "&amp;INDEX(Figures!G69:G71, MATCH(Calculator!D44, Figures!E69:E71, 0))&amp;" =", "")</f>
        <v/>
      </c>
      <c r="F44" s="20" t="str">
        <f>IFERROR(C44*INDEX(Figures!F69:F71, MATCH(Calculator!D44, Figures!E69:E71, 0)), "")</f>
        <v/>
      </c>
    </row>
    <row r="45" spans="1:7" x14ac:dyDescent="0.25">
      <c r="A45" s="29"/>
      <c r="B45" t="str">
        <f>Figures!D72</f>
        <v>7. How much do you travel by underground or metro?</v>
      </c>
      <c r="C45" s="21"/>
      <c r="D45" s="21" t="s">
        <v>150</v>
      </c>
      <c r="E45" t="str">
        <f>_xlfn.IFNA("     x "&amp;INDEX(Figures!F73:F75, MATCH(Calculator!D45, Figures!E73:E75, 0))&amp;" "&amp;INDEX(Figures!G73:G75, MATCH(Calculator!D45, Figures!E73:E75, 0))&amp;" =", "")</f>
        <v/>
      </c>
      <c r="F45" s="20" t="str">
        <f>IFERROR(C45*INDEX(Figures!F73:F75, MATCH(Calculator!D45, Figures!E73:E75, 0)), "")</f>
        <v/>
      </c>
    </row>
    <row r="46" spans="1:7" x14ac:dyDescent="0.25">
      <c r="A46" s="29"/>
      <c r="B46" t="str">
        <f>Figures!D76</f>
        <v>8. How much do you travel by bus?</v>
      </c>
      <c r="C46" s="21"/>
      <c r="D46" s="21" t="s">
        <v>150</v>
      </c>
      <c r="E46" t="str">
        <f>_xlfn.IFNA("     x "&amp;INDEX(Figures!F77:F79, MATCH(Calculator!D46, Figures!E77:E79, 0))&amp;" "&amp;INDEX(Figures!G77:G79, MATCH(Calculator!D46, Figures!E77:E79, 0))&amp;" =", "")</f>
        <v/>
      </c>
      <c r="F46" s="20" t="str">
        <f>IFERROR(C46*INDEX(Figures!F77:F79, MATCH(Calculator!D46, Figures!E77:E79, 0)), "")</f>
        <v/>
      </c>
    </row>
    <row r="47" spans="1:7" x14ac:dyDescent="0.25">
      <c r="A47" s="29"/>
      <c r="B47" t="str">
        <f>Figures!D80</f>
        <v>9. How much do you travel by long distance bus or coach?</v>
      </c>
      <c r="C47" s="21"/>
      <c r="D47" s="21" t="s">
        <v>150</v>
      </c>
      <c r="E47" t="str">
        <f>_xlfn.IFNA("     x "&amp;INDEX(Figures!F81:F83, MATCH(Calculator!D47, Figures!E81:E83, 0))&amp;" "&amp;INDEX(Figures!G81:G83, MATCH(Calculator!D47, Figures!E81:E83, 0))&amp;" =", "")</f>
        <v/>
      </c>
      <c r="F47" s="20" t="str">
        <f>IFERROR(C47*INDEX(Figures!F81:F83, MATCH(Calculator!D47, Figures!E81:E83, 0)), "")</f>
        <v/>
      </c>
    </row>
    <row r="48" spans="1:7" x14ac:dyDescent="0.25">
      <c r="A48" s="32"/>
      <c r="B48" t="str">
        <f>Figures!D84</f>
        <v>10. How much do you travel by short-haul flight?</v>
      </c>
      <c r="C48" s="21"/>
      <c r="D48" s="21" t="s">
        <v>150</v>
      </c>
      <c r="E48" t="str">
        <f>_xlfn.IFNA("     x "&amp;INDEX(Figures!F85:F87, MATCH(Calculator!D48, Figures!E85:E87, 0))&amp;" "&amp;INDEX(Figures!G85:G87, MATCH(Calculator!D48, Figures!E85:E87, 0))&amp;" =", "")</f>
        <v/>
      </c>
      <c r="F48" s="20" t="str">
        <f>IFERROR(C48*INDEX(Figures!F85:F87, MATCH(Calculator!D48, Figures!E85:E87, 0)), "")</f>
        <v/>
      </c>
    </row>
    <row r="49" spans="1:6" x14ac:dyDescent="0.25">
      <c r="A49" s="32"/>
      <c r="B49" t="str">
        <f>Figures!D88</f>
        <v>11. How much do you travel by long-haul flight?</v>
      </c>
      <c r="C49" s="21"/>
      <c r="D49" s="21" t="s">
        <v>150</v>
      </c>
      <c r="E49" t="str">
        <f>_xlfn.IFNA("     x "&amp;INDEX(Figures!F89:F91, MATCH(Calculator!D49, Figures!E89:E91, 0))&amp;" "&amp;INDEX(Figures!G89:G91, MATCH(Calculator!D49, Figures!E89:E91, 0))&amp;" =", "")</f>
        <v/>
      </c>
      <c r="F49" s="20" t="str">
        <f>IFERROR(C49*INDEX(Figures!F89:F91, MATCH(Calculator!D49, Figures!E89:E91, 0)), "")</f>
        <v/>
      </c>
    </row>
    <row r="50" spans="1:6" x14ac:dyDescent="0.25">
      <c r="A50" s="32"/>
      <c r="B50" t="s">
        <v>301</v>
      </c>
      <c r="C50" s="1"/>
      <c r="F50" s="10"/>
    </row>
    <row r="51" spans="1:6" x14ac:dyDescent="0.25">
      <c r="A51" s="32"/>
      <c r="B51" t="str">
        <f>Figures!D92</f>
        <v xml:space="preserve">   12. How many flights do you take short-haul (e.g. UK, Paris Amsterdam)?</v>
      </c>
      <c r="C51" s="21"/>
      <c r="E51" t="str">
        <f>"     x "&amp;Figures!F92&amp;" "&amp;Figures!G92&amp;" ="</f>
        <v xml:space="preserve">     x 500 kgCO2e/return economy flight =</v>
      </c>
      <c r="F51" s="10" t="str">
        <f>IFERROR(IF(C51&gt;0, C51*Figures!F92, ""), "")</f>
        <v/>
      </c>
    </row>
    <row r="52" spans="1:6" x14ac:dyDescent="0.25">
      <c r="A52" s="32"/>
      <c r="B52" t="str">
        <f>Figures!D93</f>
        <v xml:space="preserve">   13. How many to the Mediterranean or Eastern Europe?</v>
      </c>
      <c r="C52" s="21"/>
      <c r="E52" t="str">
        <f>"     x "&amp;Figures!F93&amp;" "&amp;Figures!G93&amp;" ="</f>
        <v xml:space="preserve">     x 800 kgCO2e/return economy flight =</v>
      </c>
      <c r="F52" s="10" t="str">
        <f>IFERROR(IF(C52&gt;0, C52*Figures!F93, ""), "")</f>
        <v/>
      </c>
    </row>
    <row r="53" spans="1:6" x14ac:dyDescent="0.25">
      <c r="A53" s="32"/>
      <c r="B53" t="str">
        <f>Figures!D94</f>
        <v xml:space="preserve">   14. How many to the Middle East or East Africa?</v>
      </c>
      <c r="C53" s="21"/>
      <c r="E53" t="str">
        <f>"     x "&amp;Figures!F94&amp;" "&amp;Figures!G94&amp;" ="</f>
        <v xml:space="preserve">     x 3200 kgCO2e/return economy flight =</v>
      </c>
      <c r="F53" s="10" t="str">
        <f>IFERROR(IF(C53&gt;0, C53*Figures!F94, ""), "")</f>
        <v/>
      </c>
    </row>
    <row r="54" spans="1:6" x14ac:dyDescent="0.25">
      <c r="A54" s="32"/>
      <c r="B54" t="str">
        <f>Figures!D95</f>
        <v xml:space="preserve">   15. How many to East Coast USA?</v>
      </c>
      <c r="C54" s="21"/>
      <c r="E54" t="str">
        <f>"     x "&amp;Figures!F95&amp;" "&amp;Figures!G95&amp;" ="</f>
        <v xml:space="preserve">     x 4000 kgCO2e/return economy flight =</v>
      </c>
      <c r="F54" s="10" t="str">
        <f>IFERROR(IF(C54&gt;0, C54*Figures!F95, ""), "")</f>
        <v/>
      </c>
    </row>
    <row r="55" spans="1:6" x14ac:dyDescent="0.25">
      <c r="A55" s="32"/>
      <c r="B55" t="str">
        <f>Figures!D96</f>
        <v xml:space="preserve">   16. How many to India?</v>
      </c>
      <c r="C55" s="21"/>
      <c r="E55" t="str">
        <f>"     x "&amp;Figures!F96&amp;" "&amp;Figures!G96&amp;" ="</f>
        <v xml:space="preserve">     x 5000 kgCO2e/return economy flight =</v>
      </c>
      <c r="F55" s="10" t="str">
        <f>IFERROR(IF(C55&gt;0, C55*Figures!F96, ""), "")</f>
        <v/>
      </c>
    </row>
    <row r="56" spans="1:6" x14ac:dyDescent="0.25">
      <c r="A56" s="32"/>
      <c r="B56" t="str">
        <f>Figures!D97</f>
        <v xml:space="preserve">   17. How many to West Coast USA?</v>
      </c>
      <c r="C56" s="21"/>
      <c r="E56" t="str">
        <f>"     x "&amp;Figures!F97&amp;" "&amp;Figures!G97&amp;" ="</f>
        <v xml:space="preserve">     x 5800 kgCO2e/return economy flight =</v>
      </c>
      <c r="F56" s="10" t="str">
        <f>IFERROR(IF(C56&gt;0, C56*Figures!F97, ""), "")</f>
        <v/>
      </c>
    </row>
    <row r="57" spans="1:6" x14ac:dyDescent="0.25">
      <c r="A57" s="32"/>
      <c r="B57" t="str">
        <f>Figures!D98</f>
        <v xml:space="preserve">   18. How many to East Asia, South Africa or Japan?</v>
      </c>
      <c r="C57" s="21"/>
      <c r="E57" t="str">
        <f>"     x "&amp;Figures!F98&amp;" "&amp;Figures!G98&amp;" ="</f>
        <v xml:space="preserve">     x 6500 kgCO2e/return economy flight =</v>
      </c>
      <c r="F57" s="10" t="str">
        <f>IFERROR(IF(C57&gt;0, C57*Figures!F98, ""), "")</f>
        <v/>
      </c>
    </row>
    <row r="58" spans="1:6" x14ac:dyDescent="0.25">
      <c r="A58" s="32"/>
      <c r="B58" t="str">
        <f>Figures!D99</f>
        <v xml:space="preserve">   19. How many to Australia?</v>
      </c>
      <c r="C58" s="21"/>
      <c r="E58" t="str">
        <f>"     x "&amp;Figures!F99&amp;" "&amp;Figures!G99&amp;" ="</f>
        <v xml:space="preserve">     x 11000 kgCO2e/return economy flight =</v>
      </c>
      <c r="F58" s="10" t="str">
        <f>IFERROR(IF(C58&gt;0, C58*Figures!F99, ""), "")</f>
        <v/>
      </c>
    </row>
    <row r="59" spans="1:6" x14ac:dyDescent="0.25">
      <c r="A59" s="32"/>
      <c r="B59" t="str">
        <f>Figures!D100</f>
        <v xml:space="preserve">   20. How many to New Zealand?</v>
      </c>
      <c r="C59" s="21"/>
      <c r="E59" t="str">
        <f>"     x "&amp;Figures!F100&amp;" "&amp;Figures!G100&amp;" ="</f>
        <v xml:space="preserve">     x 12200 kgCO2e/return economy flight =</v>
      </c>
      <c r="F59" s="10" t="str">
        <f>IFERROR(IF(C59&gt;0, C59*Figures!F100, ""), "")</f>
        <v/>
      </c>
    </row>
    <row r="60" spans="1:6" x14ac:dyDescent="0.25">
      <c r="A60" s="32"/>
      <c r="B60" t="str">
        <f>Figures!D101</f>
        <v>21. How much do you travel by slow ferries?</v>
      </c>
      <c r="C60" s="21"/>
      <c r="D60" s="21" t="s">
        <v>150</v>
      </c>
      <c r="E60" t="str">
        <f>_xlfn.IFNA("     x "&amp;INDEX(Figures!F102:F104, MATCH(Calculator!D60, Figures!E102:E104, 0))&amp;" "&amp;INDEX(Figures!G102:G104, MATCH(Calculator!D60, Figures!E102:E104, 0))&amp;" =", "")</f>
        <v/>
      </c>
      <c r="F60" s="20" t="str">
        <f>IFERROR(C60*INDEX(Figures!F102:F104, MATCH(Calculator!D60, Figures!E102:E104, 0)), "")</f>
        <v/>
      </c>
    </row>
    <row r="61" spans="1:6" x14ac:dyDescent="0.25">
      <c r="A61" s="32"/>
      <c r="B61" t="str">
        <f>Figures!D105</f>
        <v>22. How much do you travel by fast ferries?</v>
      </c>
      <c r="C61" s="21"/>
      <c r="D61" s="21" t="s">
        <v>150</v>
      </c>
      <c r="E61" t="str">
        <f>_xlfn.IFNA("     x "&amp;INDEX(Figures!F106:F108, MATCH(Calculator!D61, Figures!E106:E108, 0))&amp;" "&amp;INDEX(Figures!G106:G108, MATCH(Calculator!D61, Figures!E106:E108, 0))&amp;" =", "")</f>
        <v/>
      </c>
      <c r="F61" s="20" t="str">
        <f>IFERROR(C61*INDEX(Figures!F106:F108, MATCH(Calculator!D61, Figures!E106:E108, 0)), "")</f>
        <v/>
      </c>
    </row>
    <row r="62" spans="1:6" x14ac:dyDescent="0.25">
      <c r="A62" s="32"/>
      <c r="B62" t="str">
        <f>Figures!D109</f>
        <v>23. How much do you travel by liner or cruise ship?</v>
      </c>
      <c r="C62" s="21"/>
      <c r="D62" s="21" t="s">
        <v>150</v>
      </c>
      <c r="E62" t="str">
        <f>_xlfn.IFNA("     x "&amp;INDEX(Figures!F110:F112, MATCH(Calculator!D62, Figures!E110:E112, 0))&amp;" "&amp;INDEX(Figures!G110:G112, MATCH(Calculator!D62, Figures!E110:E112, 0))&amp;" =", "")</f>
        <v/>
      </c>
      <c r="F62" s="20" t="str">
        <f>IFERROR(C62*INDEX(Figures!F110:F112, MATCH(Calculator!D62, Figures!E110:E112, 0)), "")</f>
        <v/>
      </c>
    </row>
    <row r="63" spans="1:6" x14ac:dyDescent="0.25">
      <c r="F63" s="10"/>
    </row>
    <row r="64" spans="1:6" x14ac:dyDescent="0.25">
      <c r="B64" t="s">
        <v>147</v>
      </c>
      <c r="F64" s="10"/>
    </row>
    <row r="65" spans="1:7" x14ac:dyDescent="0.25">
      <c r="F65" s="10"/>
    </row>
    <row r="66" spans="1:7" x14ac:dyDescent="0.25">
      <c r="A66" s="30"/>
      <c r="B66" t="str">
        <f>Figures!D113</f>
        <v>1. How would you describe what your diet?</v>
      </c>
      <c r="C66" s="1"/>
      <c r="D66" s="21" t="s">
        <v>150</v>
      </c>
      <c r="E66" t="str">
        <f>_xlfn.IFNA("     "&amp;INDEX(Figures!F114:F118, MATCH(Calculator!D66, Figures!E114:E118, 0))&amp;" "&amp;INDEX(Figures!G114:G118, MATCH(Calculator!D66, Figures!E114:E118, 0)), "")</f>
        <v/>
      </c>
      <c r="F66" s="10" t="str">
        <f>IFERROR(IF(SUM(F67:F75)&gt;0, "", INDEX(Figures!F114:F118, MATCH(Calculator!D66, Figures!E114:E118, 0))), "")</f>
        <v/>
      </c>
    </row>
    <row r="67" spans="1:7" x14ac:dyDescent="0.25">
      <c r="A67" s="30"/>
      <c r="B67" t="str">
        <f>Figures!D119</f>
        <v>2. What percentage of your diet is Organic?</v>
      </c>
      <c r="C67" s="21"/>
      <c r="D67" t="str">
        <f>Figures!E119</f>
        <v>%</v>
      </c>
      <c r="E67" t="str">
        <f>_xlfn.IFNA("     x (1 - ("&amp;Figures!F119&amp;" x "&amp;VALUE(Calculator!C67)&amp;" / 100)) = "&amp;INDEX(Figures!F114:F118, MATCH(Calculator!D66, Figures!E114:E118, 0))*(1-(Figures!F119*(C67/100)))&amp;" "&amp;INDEX(Figures!G114:G118, MATCH(Calculator!D66, Figures!E114:E118, 0)), "")</f>
        <v/>
      </c>
      <c r="F67" s="20" t="str">
        <f>IFERROR(IF(SUM(F68:F75)&gt;0, "", INDEX(Figures!F114:F118, MATCH(Calculator!D66, Figures!E114:E118, 0))*(1-(Figures!F119*(C67/100)))), "")</f>
        <v/>
      </c>
    </row>
    <row r="68" spans="1:7" x14ac:dyDescent="0.25">
      <c r="A68" s="30"/>
      <c r="B68" t="str">
        <f>Figures!D120</f>
        <v>3. Do you eat meat that is not Organic but is free range?</v>
      </c>
      <c r="C68" s="1"/>
      <c r="D68" s="21" t="s">
        <v>150</v>
      </c>
      <c r="E68" t="str">
        <f>_xlfn.IFNA("     "&amp;INDEX(Figures!F121:F122, MATCH(Calculator!D68, Figures!E121:E122, 0))&amp;" = "&amp;INDEX(Figures!F114:F118, MATCH(Calculator!D66, Figures!E114:E118, 0))*(1-(Figures!F119*(C67/100)))+INDEX(Figures!F121:F122, MATCH(Calculator!D68, Figures!E121:E122, 0))&amp;" "&amp;INDEX(Figures!G121:G122, MATCH(Calculator!D68, Figures!E121:E122, 0)), "")</f>
        <v/>
      </c>
      <c r="F68" s="20" t="str">
        <f>IFERROR(IF(SUM(F69:F75)&gt;0, "", INDEX(Figures!F114:F118,MATCH(Calculator!D66,Figures!E114:E118,0))*(1-(Figures!F119*(C67/100)))+INDEX(Figures!F121:F122,MATCH(Calculator!D68,Figures!E121:E122,0))), "")</f>
        <v/>
      </c>
    </row>
    <row r="69" spans="1:7" x14ac:dyDescent="0.25">
      <c r="A69" s="30"/>
      <c r="B69" t="str">
        <f>Figures!D123</f>
        <v>4. Do you ever eat beef or lamb?</v>
      </c>
      <c r="C69" s="1"/>
      <c r="D69" s="21" t="s">
        <v>150</v>
      </c>
      <c r="E69" t="str">
        <f>_xlfn.IFNA("     "&amp;INDEX(Figures!F124:F125, MATCH(Calculator!D69, Figures!E124:E125, 0))&amp;" = "&amp;INDEX(Figures!F114:F118, MATCH(Calculator!D66, Figures!E114:E118, 0))*(1-(Figures!F119*(C67/100)))+INDEX(Figures!F121:F122, MATCH(Calculator!D68, Figures!E121:E122, 0))+INDEX(Figures!F124:F125, MATCH(Calculator!D69, Figures!E124:E125, 0))&amp;" "&amp;INDEX(Figures!G124:G125, MATCH(Calculator!D69, Figures!E124:E125, 0)), "")</f>
        <v/>
      </c>
      <c r="F69" s="20" t="str">
        <f>IFERROR(IF(SUM(F70:F75)&gt;0, "", INDEX(Figures!F114:F118, MATCH(Calculator!D66, Figures!E114:E118, 0))*(1-(Figures!F119*(C67/100)))+INDEX(Figures!F121:F122, MATCH(Calculator!D68, Figures!E121:E122, 0))+INDEX(Figures!F124:F125, MATCH(Calculator!D69, Figures!E124:E125, 0))), "")</f>
        <v/>
      </c>
    </row>
    <row r="70" spans="1:7" x14ac:dyDescent="0.25">
      <c r="A70" s="30"/>
      <c r="B70" t="str">
        <f>Figures!D126</f>
        <v>5. How much of your food is processed and / or imported?</v>
      </c>
      <c r="C70" s="1"/>
      <c r="D70" s="21" t="s">
        <v>150</v>
      </c>
      <c r="E70" t="str">
        <f>_xlfn.IFNA("     "&amp;INDEX(Figures!F127:F129, MATCH(Calculator!D70, Figures!E127:E129, 0))&amp;" = "&amp;INDEX(Figures!F114:F118, MATCH(Calculator!D66, Figures!E114:E118, 0))*(1-(Figures!F119*(C67/100)))+INDEX(Figures!F121:F122, MATCH(Calculator!D68, Figures!E121:E122, 0))+INDEX(Figures!F124:F125, MATCH(Calculator!D69, Figures!E124:E125, 0))+INDEX(Figures!F127:F129, MATCH(Calculator!D70, Figures!E127:E129, 0))&amp;" "&amp;INDEX(Figures!G127:G129, MATCH(Calculator!D70, Figures!E127:E129, 0)), "")</f>
        <v/>
      </c>
      <c r="F70" s="10" t="str">
        <f>IFERROR(IF(SUM(F71:F75)&gt;0, "", INDEX(Figures!F114:F118, MATCH(Calculator!D66, Figures!E114:E118, 0))*(1-(Figures!F119*(C67/100)))+INDEX(Figures!F121:F122, MATCH(Calculator!D68, Figures!E121:E122, 0))+INDEX(Figures!F124:F125, MATCH(Calculator!D69, Figures!E124:E125, 0))+INDEX(Figures!F127:F129, MATCH(Calculator!D70, Figures!E127:E129, 0))), "")</f>
        <v/>
      </c>
    </row>
    <row r="71" spans="1:7" x14ac:dyDescent="0.25">
      <c r="A71" s="30"/>
      <c r="B71" t="str">
        <f>Figures!D130</f>
        <v>6. How many packs of air freight fish or vegetables do you buy per month?</v>
      </c>
      <c r="C71" s="21"/>
      <c r="E71" t="str">
        <f>_xlfn.IFNA("     "&amp;IF(C71&gt;0, " + ("&amp;C71&amp;" x "&amp;Figures!F130&amp;")", "")&amp;" = "&amp;INDEX(Figures!F114:F118, MATCH(Calculator!D66, Figures!E114:E118, 0))*(1-(Figures!F119*(C67/100)))+INDEX(Figures!F121:F122, MATCH(Calculator!D68, Figures!E121:E122, 0))+INDEX(Figures!F124:F125, MATCH(Calculator!D69, Figures!E124:E125, 0))+INDEX(Figures!F127:F129, MATCH(Calculator!D70, Figures!E127:E129, 0))+(Figures!F130*C71)&amp;" "&amp;Figures!G130, "")</f>
        <v/>
      </c>
      <c r="F71" s="20" t="str">
        <f>IFERROR(IF(SUM(F72:F75)&gt;0, "", INDEX(Figures!F114:F118, MATCH(Calculator!D66, Figures!E114:E118, 0))*(1-(Figures!F119*(C67/100)))+INDEX(Figures!F121:F122, MATCH(Calculator!D68, Figures!E121:E122, 0))+INDEX(Figures!F124:F125, MATCH(Calculator!D69, Figures!E124:E125, 0))+INDEX(Figures!F127:F129, MATCH(Calculator!D70, Figures!E127:E129, 0))+(Figures!F130*C71)), "")</f>
        <v/>
      </c>
    </row>
    <row r="72" spans="1:7" x14ac:dyDescent="0.25">
      <c r="A72" s="30"/>
      <c r="B72" t="str">
        <f>Figures!D131</f>
        <v>7. Do you eat all leftovers and never throw away edible food?</v>
      </c>
      <c r="C72" s="1"/>
      <c r="D72" s="21" t="s">
        <v>150</v>
      </c>
      <c r="E72" t="str">
        <f>_xlfn.IFNA("     x "&amp;INDEX(Figures!F132:F133, MATCH(Calculator!D72, Figures!E132:E133, 0))&amp;" = "&amp;(INDEX(Figures!F114:F118, MATCH(Calculator!D66, Figures!E114:E118, 0))*(1-(Figures!F119*(C67/100)))+INDEX(Figures!F121:F122, MATCH(Calculator!D68, Figures!E121:E122, 0))+INDEX(Figures!F124:F125, MATCH(Calculator!D69, Figures!E124:E125, 0))+INDEX(Figures!F127:F129, MATCH(Calculator!D70, Figures!E127:E129, 0))+(Figures!F130*C71))*INDEX(Figures!F132:F133, MATCH(Calculator!D72, Figures!E132:E133, 0))&amp;" "&amp;INDEX(Figures!G132:G133, MATCH(Calculator!D72, Figures!E132:E133, 0)), "")</f>
        <v/>
      </c>
      <c r="F72" s="10" t="str">
        <f>IFERROR(IF(SUM(F73:F75)&gt;0, "", (INDEX(Figures!F114:F118, MATCH(Calculator!D66, Figures!E114:E118, 0))*(1-(Figures!F119*(C67/100)))+INDEX(Figures!F121:F122, MATCH(Calculator!D68, Figures!E121:E122, 0))+INDEX(Figures!F124:F125, MATCH(Calculator!D69, Figures!E124:E125, 0))+INDEX(Figures!F127:F129, MATCH(Calculator!D70, Figures!E127:E129, 0))+(Figures!F130*C71))*INDEX(Figures!F132:F133, MATCH(Calculator!D72, Figures!E132:E133, 0))), "")</f>
        <v/>
      </c>
    </row>
    <row r="73" spans="1:7" x14ac:dyDescent="0.25">
      <c r="A73" s="30"/>
      <c r="B73" t="str">
        <f>Figures!D134</f>
        <v>8. What percentage of your food waste do you compost?</v>
      </c>
      <c r="C73" s="21"/>
      <c r="D73" t="str">
        <f>Figures!E134</f>
        <v>%</v>
      </c>
      <c r="E73" t="str">
        <f>_xlfn.IFNA("    "&amp;IF(C73&gt;0, " "&amp;Figures!F134&amp;" x ("&amp;C73&amp;" / 100)", "")&amp;" = "&amp;((INDEX(Figures!F114:F118, MATCH(Calculator!D66, Figures!E114:E118, 0))*(1-(Figures!F119*(C67/100)))+INDEX(Figures!F121:F122, MATCH(Calculator!D68, Figures!E121:E122, 0))+INDEX(Figures!F124:F125, MATCH(Calculator!D69, Figures!E124:E125, 0))+INDEX(Figures!F127:F129, MATCH(Calculator!D70, Figures!E127:E129, 0))+(Figures!F130*C71))*INDEX(Figures!F132:F133, MATCH(Calculator!D72, Figures!E132:E133, 0)))+(Figures!F134*(C73/100))&amp;" "&amp;INDEX(Figures!G132:G133, MATCH(Calculator!D72, Figures!E132:E133, 0)), "")</f>
        <v/>
      </c>
      <c r="F73" s="20" t="str">
        <f>IFERROR(IF(SUM(F74:F75)&gt;0, "",((INDEX(Figures!F114:F118, MATCH(Calculator!D66, Figures!E114:E118, 0))*(1-(Figures!F119*(C67/100)))+INDEX(Figures!F121:F122, MATCH(Calculator!D68, Figures!E121:E122, 0))+INDEX(Figures!F124:F125, MATCH(Calculator!D69, Figures!E124:E125, 0))+INDEX(Figures!F127:F129, MATCH(Calculator!D70, Figures!E127:E129, 0))+(Figures!F130*C71))*INDEX(Figures!F132:F133, MATCH(Calculator!D72, Figures!E132:E133, 0)))+(Figures!F134*(C73/100))), "")</f>
        <v/>
      </c>
    </row>
    <row r="74" spans="1:7" x14ac:dyDescent="0.25">
      <c r="A74" s="30"/>
      <c r="B74" t="str">
        <f>Figures!D135</f>
        <v>9. How often do you eat in restaurants or canteens?</v>
      </c>
      <c r="C74" s="1"/>
      <c r="D74" s="21" t="s">
        <v>150</v>
      </c>
      <c r="E74" t="str">
        <f>_xlfn.IFNA("     "&amp;INDEX(Figures!F136:F138, MATCH(Calculator!D74, Figures!E136:E138, 0))&amp;" = "&amp;((INDEX(Figures!F114:F118, MATCH(Calculator!D66, Figures!E114:E118, 0))*(1-(Figures!F119*(C67/100)))+INDEX(Figures!F121:F122, MATCH(Calculator!D68, Figures!E121:E122, 0))+INDEX(Figures!F124:F125, MATCH(Calculator!D69, Figures!E124:E125, 0))+INDEX(Figures!F127:F129, MATCH(Calculator!D70, Figures!E127:E129, 0))+(Figures!F130*C71))*INDEX(Figures!F132:F133, MATCH(Calculator!D72, Figures!E132:E133, 0)))+(Figures!F134*(C73/100))+INDEX(Figures!F136:F138, MATCH(Calculator!D74, Figures!E136:E138, 0))&amp;" "&amp;INDEX(Figures!G136:G138, MATCH(Calculator!D74, Figures!E136:E138, 0)), "")</f>
        <v/>
      </c>
      <c r="F74" s="10" t="str">
        <f>IFERROR(IF(F75&gt;0, "",((INDEX(Figures!F114:F118, MATCH(Calculator!D66, Figures!E114:E118, 0))*(1-(Figures!F119*(C67/100)))+INDEX(Figures!F121:F122, MATCH(Calculator!D68, Figures!E121:E122, 0))+INDEX(Figures!F124:F125, MATCH(Calculator!D69, Figures!E124:E125, 0))+INDEX(Figures!F127:F129, MATCH(Calculator!D70, Figures!E127:E129, 0))+(Figures!F130*C71))*INDEX(Figures!F132:F133, MATCH(Calculator!D72, Figures!E132:E133, 0)))+(Figures!F134*(C73/100))+INDEX(Figures!F136:F138, MATCH(Calculator!D74, Figures!E136:E138, 0))), "")</f>
        <v/>
      </c>
    </row>
    <row r="75" spans="1:7" x14ac:dyDescent="0.25">
      <c r="A75" s="30"/>
      <c r="B75" t="str">
        <f>Figures!D139</f>
        <v>10. How often do you have takeaways?</v>
      </c>
      <c r="C75" s="1"/>
      <c r="D75" s="21" t="s">
        <v>150</v>
      </c>
      <c r="E75" t="str">
        <f>_xlfn.IFNA("     "&amp;INDEX(Figures!F140:F141, MATCH(Calculator!D75, Figures!E140:E141, 0))&amp;" = "&amp;((INDEX(Figures!F114:F118, MATCH(Calculator!D66, Figures!E114:E118, 0))*(1-(Figures!F119*(C67/100)))+INDEX(Figures!F121:F122, MATCH(Calculator!D68, Figures!E121:E122, 0))+INDEX(Figures!F124:F125, MATCH(Calculator!D69, Figures!E124:E125, 0))+INDEX(Figures!F127:F129, MATCH(Calculator!D70, Figures!E127:E129, 0))+(Figures!F130*C71))*INDEX(Figures!F132:F133, MATCH(Calculator!D72, Figures!E132:E133, 0)))+(Figures!F134*(C73/100))+INDEX(Figures!F136:F138, MATCH(Calculator!D74, Figures!E136:E138, 0))+INDEX(Figures!F140:F141, MATCH(Calculator!D75, Figures!E140:E141, 0))&amp;" "&amp;INDEX(Figures!G136:G138, MATCH(Calculator!D74, Figures!E136:E138, 0)), "")</f>
        <v/>
      </c>
      <c r="F75" s="20" t="str">
        <f>IFERROR(((INDEX(Figures!F114:F118, MATCH(Calculator!D66, Figures!E114:E118, 0))*(1-(Figures!F119*(C67/100)))+INDEX(Figures!F121:F122, MATCH(Calculator!D68, Figures!E121:E122, 0))+INDEX(Figures!F124:F125, MATCH(Calculator!D69, Figures!E124:E125, 0))+INDEX(Figures!F127:F129, MATCH(Calculator!D70, Figures!E127:E129, 0))+(Figures!F130*C71))*INDEX(Figures!F132:F133, MATCH(Calculator!D72, Figures!E132:E133, 0)))+(Figures!F134*(C73/100))+INDEX(Figures!F136:F138, MATCH(Calculator!D74, Figures!E136:E138, 0))+INDEX(Figures!F140:F141, MATCH(Calculator!D75, Figures!E140:E141, 0)), "")</f>
        <v/>
      </c>
    </row>
    <row r="76" spans="1:7" x14ac:dyDescent="0.25">
      <c r="F76" s="10"/>
    </row>
    <row r="77" spans="1:7" x14ac:dyDescent="0.25">
      <c r="B77" t="s">
        <v>148</v>
      </c>
      <c r="F77" s="10"/>
    </row>
    <row r="78" spans="1:7" x14ac:dyDescent="0.25">
      <c r="F78" s="10"/>
    </row>
    <row r="79" spans="1:7" x14ac:dyDescent="0.25">
      <c r="A79" s="27"/>
      <c r="B79" t="str">
        <f>Figures!D142</f>
        <v xml:space="preserve">1. After you have paid for all the things above how much do you spend on other stuff?  </v>
      </c>
      <c r="C79" s="21"/>
      <c r="D79" t="str">
        <f>Figures!E142</f>
        <v>£ per year</v>
      </c>
      <c r="F79" s="10"/>
      <c r="G79" t="str">
        <f>Figures!H142</f>
        <v>How much money do you spend on stuff?  Virtually everything we do has a carbon footprint and most of it relates very closely to how much it cost.  In simple terms, take how much do you earn after tax, take away the money spent on things above, savings &amp; offsetting to fill in this box.  Personal, not household.  This can be a tricky and is usually a big one.  It is often omitted from many assesments as the emissions are often released overseas where much heavy industry occurs, but we are still responsile for these emissions.  How much money do you earn from work, borrowing, pensions, investments, lottery wins, etc after home energy, rent, mortgage, car, travel, food, taxes (income, council, etc.), savings and carbon offsetting (such as paid offsetting services, spending on renewables, etc.).  Some people sudgest savings should be included, as unless they are in your matress, they will be leant to someone else (or because of the way the banking system works, probably several other people several times over!), but here we are taking the view that those emissions are part of thier footprint and to include them would be double counting, as your savings will contribute towards your foorprint when they are spent one day</v>
      </c>
    </row>
    <row r="80" spans="1:7" x14ac:dyDescent="0.25">
      <c r="A80" s="27"/>
      <c r="B80" t="str">
        <f>Figures!D144</f>
        <v>2. What percentage do you spend on low carbon spending (see notes)?</v>
      </c>
      <c r="C80" s="21"/>
      <c r="D80" t="str">
        <f>Figures!E144</f>
        <v>%</v>
      </c>
      <c r="E80" t="str">
        <f>IFERROR(IF(C$79&gt;0, IF(ISNUMBER(C$80), IF(ISNUMBER(C$81), "     x "&amp;C$79&amp;" x "&amp;Figures!F144&amp;" =", ""), ""), ""),"")</f>
        <v/>
      </c>
      <c r="F80" s="20" t="str">
        <f>IFERROR(IF(C$79&gt;0, IF(ISNUMBER(C$80), IF(ISNUMBER(C$81), C$79*C80*0.01*Figures!F144, ""), ""), ""),"")</f>
        <v/>
      </c>
      <c r="G80" t="str">
        <f>Figures!H144</f>
        <v>Low impact products e.g. labour intensive products and services, second-hand goods, antiques, etc.</v>
      </c>
    </row>
    <row r="81" spans="1:7" x14ac:dyDescent="0.25">
      <c r="A81" s="27"/>
      <c r="B81" t="str">
        <f>Figures!D145</f>
        <v>3. What percentage do you spend on carbon intensive spending (see notes)</v>
      </c>
      <c r="C81" s="21"/>
      <c r="D81" t="str">
        <f>Figures!E145</f>
        <v>%</v>
      </c>
      <c r="E81" t="str">
        <f>IFERROR(IF(C$79&gt;0, IF(ISNUMBER(C$80), IF(ISNUMBER(C$81), "     x "&amp;C$79&amp;" x "&amp;Figures!F145&amp;" =", ""), ""), ""),"")</f>
        <v/>
      </c>
      <c r="F81" s="20" t="str">
        <f>IFERROR(IF(C$79&gt;0, IF(ISNUMBER(C$80), IF(ISNUMBER(C$81), C$79*C81*0.01*Figures!F145, ""), ""), ""),"")</f>
        <v/>
      </c>
      <c r="G81" t="str">
        <f>Figures!H145</f>
        <v>Carbon intensive things e.g. textiles, building materials, machinery, heavy household equipment, etc.</v>
      </c>
    </row>
    <row r="82" spans="1:7" x14ac:dyDescent="0.25">
      <c r="A82" s="27"/>
      <c r="B82" t="str">
        <f>Figures!D146</f>
        <v>4. Percentage do you spend on 'standard' spending (see notes)</v>
      </c>
      <c r="C82">
        <f>100-C80-C81</f>
        <v>100</v>
      </c>
      <c r="D82" t="str">
        <f>Figures!E146</f>
        <v>%</v>
      </c>
      <c r="E82" t="str">
        <f>IFERROR(IF(C$79&gt;0, IF(ISNUMBER(C$80), IF(ISNUMBER(C$81), "     x "&amp;C$79&amp;" x "&amp;Figures!F146&amp;" =", ""), ""), ""),"")</f>
        <v/>
      </c>
      <c r="F82" s="20" t="str">
        <f>IFERROR(IF(C$79&gt;0, IF(ISNUMBER(C82), C$79*C82*0.01*Figures!F146, ""), ""),"")</f>
        <v/>
      </c>
      <c r="G82" t="str">
        <f>Figures!H146</f>
        <v>Neither high nor low carbon items e.g. hotels, pharmaceuticals, jewellery, alcohol, furniture, furnishings, etc.</v>
      </c>
    </row>
    <row r="85" spans="1:7" x14ac:dyDescent="0.25">
      <c r="B85" t="str">
        <f>Figures!I1</f>
        <v>References:</v>
      </c>
    </row>
    <row r="86" spans="1:7" x14ac:dyDescent="0.25">
      <c r="B86" t="str">
        <f>Figures!I2</f>
        <v>Marshall, G., (2007).  Carbon Detox.  London: Gaia</v>
      </c>
    </row>
    <row r="87" spans="1:7" x14ac:dyDescent="0.25">
      <c r="B87" t="str">
        <f>Figures!I3</f>
        <v>Berners-Lee, M., (2010).  How bad are Bananas?  London: Profile Books</v>
      </c>
    </row>
    <row r="88" spans="1:7" x14ac:dyDescent="0.25">
      <c r="B88" t="str">
        <f>Figures!I4</f>
        <v>Arvesen, A. et al., (2018).  Cooling aerosols and changes in albedo counteract warming from CO2 and black carbon from forest bioenergy in Norway.  Online: Nature</v>
      </c>
    </row>
  </sheetData>
  <sheetProtection sheet="1" objects="1" scenarios="1"/>
  <mergeCells count="7">
    <mergeCell ref="B23:D23"/>
    <mergeCell ref="B17:G17"/>
    <mergeCell ref="B19:G19"/>
    <mergeCell ref="B18:G18"/>
    <mergeCell ref="B20:G20"/>
    <mergeCell ref="B22:G22"/>
    <mergeCell ref="B21:G21"/>
  </mergeCells>
  <dataValidations count="2">
    <dataValidation type="decimal" allowBlank="1" showInputMessage="1" showErrorMessage="1" sqref="C80:C81 C73 C28 C67">
      <formula1>0</formula1>
      <formula2>100</formula2>
    </dataValidation>
    <dataValidation type="decimal" operator="greaterThanOrEqual" allowBlank="1" showInputMessage="1" showErrorMessage="1" sqref="C27 C29:C35">
      <formula1>0</formula1>
    </dataValidation>
  </dataValidations>
  <pageMargins left="0.7" right="0.7" top="0.75" bottom="0.75" header="0.3" footer="0.3"/>
  <pageSetup paperSize="9" orientation="portrait" horizontalDpi="4294967293" verticalDpi="0" r:id="rId1"/>
  <ignoredErrors>
    <ignoredError sqref="E66:F66" formulaRange="1"/>
  </ignoredErrors>
  <drawing r:id="rId2"/>
  <extLst>
    <ext xmlns:x14="http://schemas.microsoft.com/office/spreadsheetml/2009/9/main" uri="{CCE6A557-97BC-4b89-ADB6-D9C93CAAB3DF}">
      <x14:dataValidations xmlns:xm="http://schemas.microsoft.com/office/excel/2006/main" count="26">
        <x14:dataValidation type="list" allowBlank="1" showInputMessage="1" showErrorMessage="1">
          <x14:formula1>
            <xm:f>Figures!$E$21:$E$27</xm:f>
          </x14:formula1>
          <xm:sqref>D29</xm:sqref>
        </x14:dataValidation>
        <x14:dataValidation type="list" allowBlank="1" showInputMessage="1" showErrorMessage="1">
          <x14:formula1>
            <xm:f>Figures!$E$28:$E$31</xm:f>
          </x14:formula1>
          <xm:sqref>D30</xm:sqref>
        </x14:dataValidation>
        <x14:dataValidation type="list" allowBlank="1" showInputMessage="1" showErrorMessage="1">
          <x14:formula1>
            <xm:f>Figures!$E$32:$E$36</xm:f>
          </x14:formula1>
          <xm:sqref>D31</xm:sqref>
        </x14:dataValidation>
        <x14:dataValidation type="list" allowBlank="1" showInputMessage="1" showErrorMessage="1">
          <x14:formula1>
            <xm:f>Figures!$E$37:$E$41</xm:f>
          </x14:formula1>
          <xm:sqref>D32</xm:sqref>
        </x14:dataValidation>
        <x14:dataValidation type="list" allowBlank="1" showInputMessage="1" showErrorMessage="1">
          <x14:formula1>
            <xm:f>Figures!$E$42:$E$45</xm:f>
          </x14:formula1>
          <xm:sqref>D33</xm:sqref>
        </x14:dataValidation>
        <x14:dataValidation type="list" allowBlank="1" showInputMessage="1" showErrorMessage="1">
          <x14:formula1>
            <xm:f>Figures!$E$64:$E$67</xm:f>
          </x14:formula1>
          <xm:sqref>D43</xm:sqref>
        </x14:dataValidation>
        <x14:dataValidation type="list" allowBlank="1" showInputMessage="1" showErrorMessage="1">
          <x14:formula1>
            <xm:f>Figures!$E$68:$E$71</xm:f>
          </x14:formula1>
          <xm:sqref>D44</xm:sqref>
        </x14:dataValidation>
        <x14:dataValidation type="list" allowBlank="1" showInputMessage="1" showErrorMessage="1">
          <x14:formula1>
            <xm:f>Figures!$E$72:$E$75</xm:f>
          </x14:formula1>
          <xm:sqref>D45</xm:sqref>
        </x14:dataValidation>
        <x14:dataValidation type="list" allowBlank="1" showInputMessage="1" showErrorMessage="1">
          <x14:formula1>
            <xm:f>Figures!$E$76:$E$79</xm:f>
          </x14:formula1>
          <xm:sqref>D46</xm:sqref>
        </x14:dataValidation>
        <x14:dataValidation type="list" allowBlank="1" showInputMessage="1" showErrorMessage="1">
          <x14:formula1>
            <xm:f>Figures!$E$80:$E$83</xm:f>
          </x14:formula1>
          <xm:sqref>D47</xm:sqref>
        </x14:dataValidation>
        <x14:dataValidation type="list" allowBlank="1" showInputMessage="1" showErrorMessage="1">
          <x14:formula1>
            <xm:f>Figures!$E$84:$E$87</xm:f>
          </x14:formula1>
          <xm:sqref>D48</xm:sqref>
        </x14:dataValidation>
        <x14:dataValidation type="list" allowBlank="1" showInputMessage="1" showErrorMessage="1">
          <x14:formula1>
            <xm:f>Figures!$E$88:$E$91</xm:f>
          </x14:formula1>
          <xm:sqref>D49</xm:sqref>
        </x14:dataValidation>
        <x14:dataValidation type="list" allowBlank="1" showInputMessage="1" showErrorMessage="1">
          <x14:formula1>
            <xm:f>Figures!$E$101:$E$104</xm:f>
          </x14:formula1>
          <xm:sqref>D60</xm:sqref>
        </x14:dataValidation>
        <x14:dataValidation type="list" allowBlank="1" showInputMessage="1" showErrorMessage="1">
          <x14:formula1>
            <xm:f>Figures!$E$105:$E$108</xm:f>
          </x14:formula1>
          <xm:sqref>D61</xm:sqref>
        </x14:dataValidation>
        <x14:dataValidation type="list" allowBlank="1" showInputMessage="1" showErrorMessage="1">
          <x14:formula1>
            <xm:f>Figures!$E$109:$E$112</xm:f>
          </x14:formula1>
          <xm:sqref>D62</xm:sqref>
        </x14:dataValidation>
        <x14:dataValidation type="list" allowBlank="1" showInputMessage="1" showErrorMessage="1">
          <x14:formula1>
            <xm:f>Figures!$E$61:$E$63</xm:f>
          </x14:formula1>
          <xm:sqref>D42</xm:sqref>
        </x14:dataValidation>
        <x14:dataValidation type="list" allowBlank="1" showInputMessage="1" showErrorMessage="1">
          <x14:formula1>
            <xm:f>Figures!$E$56:$E$58</xm:f>
          </x14:formula1>
          <xm:sqref>D40</xm:sqref>
        </x14:dataValidation>
        <x14:dataValidation type="list" allowBlank="1" showInputMessage="1" showErrorMessage="1">
          <x14:formula1>
            <xm:f>Figures!$E$52:$E$55</xm:f>
          </x14:formula1>
          <xm:sqref>D39</xm:sqref>
        </x14:dataValidation>
        <x14:dataValidation type="list" allowBlank="1" showInputMessage="1" showErrorMessage="1">
          <x14:formula1>
            <xm:f>Figures!$E$113:$E$118</xm:f>
          </x14:formula1>
          <xm:sqref>D66</xm:sqref>
        </x14:dataValidation>
        <x14:dataValidation type="list" allowBlank="1" showInputMessage="1" showErrorMessage="1">
          <x14:formula1>
            <xm:f>Figures!$E$120:$E$122</xm:f>
          </x14:formula1>
          <xm:sqref>D68</xm:sqref>
        </x14:dataValidation>
        <x14:dataValidation type="list" allowBlank="1" showInputMessage="1" showErrorMessage="1">
          <x14:formula1>
            <xm:f>Figures!$E$123:$E$125</xm:f>
          </x14:formula1>
          <xm:sqref>D69</xm:sqref>
        </x14:dataValidation>
        <x14:dataValidation type="list" allowBlank="1" showInputMessage="1" showErrorMessage="1">
          <x14:formula1>
            <xm:f>Figures!$E$126:$E$129</xm:f>
          </x14:formula1>
          <xm:sqref>D70</xm:sqref>
        </x14:dataValidation>
        <x14:dataValidation type="list" allowBlank="1" showInputMessage="1" showErrorMessage="1">
          <x14:formula1>
            <xm:f>Figures!$E$131:$E$133</xm:f>
          </x14:formula1>
          <xm:sqref>D72</xm:sqref>
        </x14:dataValidation>
        <x14:dataValidation type="list" allowBlank="1" showInputMessage="1" showErrorMessage="1">
          <x14:formula1>
            <xm:f>Figures!$E$135:$E$138</xm:f>
          </x14:formula1>
          <xm:sqref>D74</xm:sqref>
        </x14:dataValidation>
        <x14:dataValidation type="list" allowBlank="1" showInputMessage="1" showErrorMessage="1">
          <x14:formula1>
            <xm:f>Figures!$E$139:$E$141</xm:f>
          </x14:formula1>
          <xm:sqref>D75</xm:sqref>
        </x14:dataValidation>
        <x14:dataValidation type="list" allowBlank="1" showInputMessage="1" showErrorMessage="1">
          <x14:formula1>
            <xm:f>Figures!$E$48:$E$50</xm:f>
          </x14:formula1>
          <xm:sqref>D34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0"/>
  <sheetViews>
    <sheetView workbookViewId="0">
      <pane ySplit="15" topLeftCell="A16" activePane="bottomLeft" state="frozen"/>
      <selection pane="bottomLeft" activeCell="L7" sqref="L7"/>
    </sheetView>
  </sheetViews>
  <sheetFormatPr defaultRowHeight="15" x14ac:dyDescent="0.25"/>
  <cols>
    <col min="2" max="2" width="12.85546875" bestFit="1" customWidth="1"/>
    <col min="3" max="3" width="17.85546875" bestFit="1" customWidth="1"/>
    <col min="4" max="4" width="53.5703125" customWidth="1"/>
    <col min="7" max="7" width="18.5703125" customWidth="1"/>
    <col min="11" max="11" width="10.7109375" bestFit="1" customWidth="1"/>
  </cols>
  <sheetData>
    <row r="1" spans="1:12" x14ac:dyDescent="0.25">
      <c r="C1" t="s">
        <v>204</v>
      </c>
      <c r="D1" t="s">
        <v>205</v>
      </c>
      <c r="E1" t="s">
        <v>206</v>
      </c>
      <c r="F1" t="s">
        <v>201</v>
      </c>
      <c r="I1" t="s">
        <v>290</v>
      </c>
      <c r="L1" t="s">
        <v>291</v>
      </c>
    </row>
    <row r="2" spans="1:12" x14ac:dyDescent="0.25">
      <c r="A2" t="s">
        <v>7</v>
      </c>
      <c r="C2" s="5">
        <v>2100</v>
      </c>
      <c r="F2" s="13" t="s">
        <v>256</v>
      </c>
      <c r="I2" t="s">
        <v>203</v>
      </c>
      <c r="L2" t="s">
        <v>289</v>
      </c>
    </row>
    <row r="3" spans="1:12" x14ac:dyDescent="0.25">
      <c r="A3" t="s">
        <v>6</v>
      </c>
      <c r="C3" s="15">
        <f>ROUND((107298000000/66000000)*F49, 0)</f>
        <v>499</v>
      </c>
      <c r="F3" t="s">
        <v>202</v>
      </c>
      <c r="I3" t="s">
        <v>53</v>
      </c>
      <c r="L3" t="s">
        <v>287</v>
      </c>
    </row>
    <row r="4" spans="1:12" x14ac:dyDescent="0.25">
      <c r="A4" t="s">
        <v>193</v>
      </c>
      <c r="C4">
        <v>345</v>
      </c>
      <c r="F4" t="s">
        <v>229</v>
      </c>
      <c r="I4" t="s">
        <v>100</v>
      </c>
      <c r="L4" t="s">
        <v>288</v>
      </c>
    </row>
    <row r="5" spans="1:12" x14ac:dyDescent="0.25">
      <c r="A5" t="s">
        <v>10</v>
      </c>
      <c r="C5">
        <v>1300</v>
      </c>
      <c r="F5" t="s">
        <v>292</v>
      </c>
      <c r="L5" t="s">
        <v>306</v>
      </c>
    </row>
    <row r="6" spans="1:12" x14ac:dyDescent="0.25">
      <c r="A6" t="s">
        <v>9</v>
      </c>
      <c r="C6">
        <v>190</v>
      </c>
      <c r="F6" t="s">
        <v>293</v>
      </c>
      <c r="L6" t="s">
        <v>316</v>
      </c>
    </row>
    <row r="7" spans="1:12" x14ac:dyDescent="0.25">
      <c r="A7" t="s">
        <v>181</v>
      </c>
      <c r="C7">
        <v>1830</v>
      </c>
      <c r="F7" t="s">
        <v>317</v>
      </c>
      <c r="L7" t="s">
        <v>318</v>
      </c>
    </row>
    <row r="8" spans="1:12" x14ac:dyDescent="0.25">
      <c r="A8" t="s">
        <v>8</v>
      </c>
      <c r="C8">
        <v>2000</v>
      </c>
      <c r="F8" t="s">
        <v>294</v>
      </c>
    </row>
    <row r="9" spans="1:12" x14ac:dyDescent="0.25">
      <c r="A9" t="s">
        <v>15</v>
      </c>
      <c r="C9">
        <v>2965</v>
      </c>
      <c r="F9" t="s">
        <v>299</v>
      </c>
    </row>
    <row r="10" spans="1:12" x14ac:dyDescent="0.25">
      <c r="A10" t="s">
        <v>296</v>
      </c>
      <c r="C10">
        <v>0</v>
      </c>
    </row>
    <row r="11" spans="1:12" x14ac:dyDescent="0.25">
      <c r="A11" t="s">
        <v>47</v>
      </c>
      <c r="C11">
        <v>1000</v>
      </c>
    </row>
    <row r="12" spans="1:12" x14ac:dyDescent="0.25">
      <c r="A12" s="10" t="s">
        <v>149</v>
      </c>
      <c r="C12" s="5">
        <f>SUM(C2:C11)</f>
        <v>12229</v>
      </c>
      <c r="D12">
        <v>2200</v>
      </c>
      <c r="E12">
        <v>500</v>
      </c>
    </row>
    <row r="13" spans="1:12" x14ac:dyDescent="0.25">
      <c r="A13" s="16" t="s">
        <v>11</v>
      </c>
      <c r="C13" s="5" t="s">
        <v>300</v>
      </c>
      <c r="D13" t="s">
        <v>278</v>
      </c>
      <c r="E13" t="s">
        <v>277</v>
      </c>
    </row>
    <row r="15" spans="1:12" x14ac:dyDescent="0.25">
      <c r="A15" t="s">
        <v>0</v>
      </c>
      <c r="B15" t="s">
        <v>2</v>
      </c>
      <c r="C15" t="s">
        <v>18</v>
      </c>
      <c r="D15" t="s">
        <v>1</v>
      </c>
      <c r="E15" t="s">
        <v>20</v>
      </c>
      <c r="F15" t="s">
        <v>21</v>
      </c>
      <c r="G15" t="s">
        <v>62</v>
      </c>
      <c r="H15" t="s">
        <v>4</v>
      </c>
      <c r="I15" t="s">
        <v>11</v>
      </c>
      <c r="J15" t="s">
        <v>197</v>
      </c>
      <c r="K15" t="s">
        <v>198</v>
      </c>
      <c r="L15" t="s">
        <v>48</v>
      </c>
    </row>
    <row r="16" spans="1:12" x14ac:dyDescent="0.25">
      <c r="A16" t="s">
        <v>3</v>
      </c>
      <c r="B16" t="s">
        <v>188</v>
      </c>
      <c r="C16" t="s">
        <v>16</v>
      </c>
      <c r="D16" t="s">
        <v>126</v>
      </c>
      <c r="H16" t="s">
        <v>152</v>
      </c>
      <c r="I16" t="s">
        <v>17</v>
      </c>
      <c r="J16" t="s">
        <v>199</v>
      </c>
      <c r="K16" s="12">
        <v>43449</v>
      </c>
    </row>
    <row r="17" spans="1:11" x14ac:dyDescent="0.25">
      <c r="A17" t="s">
        <v>3</v>
      </c>
      <c r="B17" t="s">
        <v>188</v>
      </c>
      <c r="C17" t="s">
        <v>16</v>
      </c>
      <c r="D17" s="1" t="s">
        <v>257</v>
      </c>
      <c r="E17" s="1" t="s">
        <v>60</v>
      </c>
      <c r="H17" t="s">
        <v>259</v>
      </c>
      <c r="I17" t="s">
        <v>17</v>
      </c>
      <c r="J17" t="s">
        <v>199</v>
      </c>
      <c r="K17" s="12">
        <v>43467</v>
      </c>
    </row>
    <row r="21" spans="1:11" x14ac:dyDescent="0.25">
      <c r="A21" t="s">
        <v>3</v>
      </c>
      <c r="B21" t="s">
        <v>188</v>
      </c>
      <c r="C21" t="s">
        <v>7</v>
      </c>
      <c r="D21" t="s">
        <v>313</v>
      </c>
      <c r="E21" t="s">
        <v>150</v>
      </c>
      <c r="H21" t="s">
        <v>209</v>
      </c>
      <c r="I21" t="s">
        <v>17</v>
      </c>
      <c r="J21" t="s">
        <v>199</v>
      </c>
      <c r="K21" s="12">
        <v>43467</v>
      </c>
    </row>
    <row r="22" spans="1:11" x14ac:dyDescent="0.25">
      <c r="E22" t="s">
        <v>262</v>
      </c>
      <c r="F22" s="2">
        <f>ROUND(2.2*(F24/0.2),2)</f>
        <v>2.42</v>
      </c>
      <c r="G22" t="s">
        <v>212</v>
      </c>
      <c r="H22" t="s">
        <v>68</v>
      </c>
      <c r="I22" t="s">
        <v>63</v>
      </c>
      <c r="J22" t="s">
        <v>199</v>
      </c>
      <c r="K22" s="12">
        <v>43467</v>
      </c>
    </row>
    <row r="23" spans="1:11" x14ac:dyDescent="0.25">
      <c r="E23" t="s">
        <v>263</v>
      </c>
      <c r="F23" s="4">
        <f>ROUND(6.2*(F24/0.2), 2)</f>
        <v>6.82</v>
      </c>
      <c r="G23" t="s">
        <v>213</v>
      </c>
      <c r="H23" t="s">
        <v>68</v>
      </c>
      <c r="I23" t="s">
        <v>63</v>
      </c>
      <c r="J23" t="s">
        <v>199</v>
      </c>
      <c r="K23" s="12">
        <v>43467</v>
      </c>
    </row>
    <row r="24" spans="1:11" x14ac:dyDescent="0.25">
      <c r="E24" t="s">
        <v>260</v>
      </c>
      <c r="F24" s="2">
        <f>ROUND(0.244*0.9, 3)</f>
        <v>0.22</v>
      </c>
      <c r="G24" t="s">
        <v>210</v>
      </c>
      <c r="H24" t="s">
        <v>67</v>
      </c>
      <c r="I24" t="s">
        <v>63</v>
      </c>
      <c r="J24" t="s">
        <v>199</v>
      </c>
      <c r="K24" s="12">
        <v>43467</v>
      </c>
    </row>
    <row r="25" spans="1:11" x14ac:dyDescent="0.25">
      <c r="E25" t="s">
        <v>261</v>
      </c>
      <c r="F25" s="4">
        <f>ROUND(F24/(((10000*0.038)+(365.25*0.2))/10000)*1.05, 2)</f>
        <v>5.0999999999999996</v>
      </c>
      <c r="G25" t="s">
        <v>211</v>
      </c>
      <c r="H25" t="s">
        <v>235</v>
      </c>
      <c r="I25" t="s">
        <v>61</v>
      </c>
      <c r="J25" t="s">
        <v>199</v>
      </c>
      <c r="K25" s="12">
        <v>43467</v>
      </c>
    </row>
    <row r="26" spans="1:11" x14ac:dyDescent="0.25">
      <c r="E26" t="s">
        <v>264</v>
      </c>
      <c r="F26" s="4">
        <f>ROUND(F24*7.3, 2)</f>
        <v>1.61</v>
      </c>
      <c r="G26" t="s">
        <v>214</v>
      </c>
      <c r="H26" t="s">
        <v>165</v>
      </c>
      <c r="I26" t="s">
        <v>65</v>
      </c>
      <c r="J26" t="s">
        <v>199</v>
      </c>
      <c r="K26" s="12">
        <v>43467</v>
      </c>
    </row>
    <row r="27" spans="1:11" x14ac:dyDescent="0.25">
      <c r="E27" t="s">
        <v>265</v>
      </c>
      <c r="F27" s="4">
        <f>ROUND(F24*13.7, 2)</f>
        <v>3.01</v>
      </c>
      <c r="G27" t="s">
        <v>215</v>
      </c>
      <c r="H27" t="s">
        <v>165</v>
      </c>
      <c r="I27" t="s">
        <v>65</v>
      </c>
      <c r="J27" t="s">
        <v>199</v>
      </c>
      <c r="K27" s="12">
        <v>43467</v>
      </c>
    </row>
    <row r="28" spans="1:11" x14ac:dyDescent="0.25">
      <c r="A28" t="s">
        <v>3</v>
      </c>
      <c r="B28" t="s">
        <v>188</v>
      </c>
      <c r="C28" t="s">
        <v>7</v>
      </c>
      <c r="D28" t="s">
        <v>312</v>
      </c>
      <c r="E28" t="s">
        <v>150</v>
      </c>
      <c r="I28" t="s">
        <v>17</v>
      </c>
      <c r="J28" t="s">
        <v>199</v>
      </c>
      <c r="K28" s="12">
        <v>43467</v>
      </c>
    </row>
    <row r="29" spans="1:11" x14ac:dyDescent="0.25">
      <c r="E29" t="s">
        <v>266</v>
      </c>
      <c r="F29">
        <v>3</v>
      </c>
      <c r="G29" t="s">
        <v>214</v>
      </c>
      <c r="H29" t="s">
        <v>165</v>
      </c>
      <c r="I29" t="s">
        <v>17</v>
      </c>
      <c r="J29" t="s">
        <v>199</v>
      </c>
      <c r="K29" s="12">
        <v>43467</v>
      </c>
    </row>
    <row r="30" spans="1:11" x14ac:dyDescent="0.25">
      <c r="E30" t="s">
        <v>260</v>
      </c>
      <c r="F30">
        <v>0.247</v>
      </c>
      <c r="G30" t="s">
        <v>210</v>
      </c>
      <c r="H30" t="s">
        <v>165</v>
      </c>
      <c r="I30" t="s">
        <v>166</v>
      </c>
      <c r="J30" t="s">
        <v>199</v>
      </c>
      <c r="K30" s="12">
        <v>43467</v>
      </c>
    </row>
    <row r="31" spans="1:11" x14ac:dyDescent="0.25">
      <c r="E31" t="s">
        <v>261</v>
      </c>
      <c r="F31" s="4">
        <f>ROUND(F29/0.5, 2)</f>
        <v>6</v>
      </c>
      <c r="G31" t="s">
        <v>211</v>
      </c>
      <c r="H31" t="s">
        <v>236</v>
      </c>
      <c r="I31" t="s">
        <v>66</v>
      </c>
      <c r="J31" t="s">
        <v>199</v>
      </c>
      <c r="K31" s="12">
        <v>43467</v>
      </c>
    </row>
    <row r="32" spans="1:11" x14ac:dyDescent="0.25">
      <c r="A32" t="s">
        <v>3</v>
      </c>
      <c r="B32" t="s">
        <v>188</v>
      </c>
      <c r="C32" t="s">
        <v>7</v>
      </c>
      <c r="D32" t="s">
        <v>311</v>
      </c>
      <c r="E32" t="s">
        <v>150</v>
      </c>
      <c r="I32" t="s">
        <v>17</v>
      </c>
      <c r="J32" t="s">
        <v>199</v>
      </c>
      <c r="K32" s="12">
        <v>43467</v>
      </c>
    </row>
    <row r="33" spans="1:12" x14ac:dyDescent="0.25">
      <c r="E33" t="s">
        <v>267</v>
      </c>
      <c r="F33">
        <v>2.86</v>
      </c>
      <c r="G33" t="s">
        <v>215</v>
      </c>
      <c r="H33" t="s">
        <v>165</v>
      </c>
      <c r="I33" t="s">
        <v>166</v>
      </c>
      <c r="J33" t="s">
        <v>199</v>
      </c>
      <c r="K33" s="12">
        <v>43467</v>
      </c>
    </row>
    <row r="34" spans="1:12" x14ac:dyDescent="0.25">
      <c r="E34" t="s">
        <v>268</v>
      </c>
      <c r="F34">
        <f>ROUND(F33*50, 0)</f>
        <v>143</v>
      </c>
      <c r="G34" t="s">
        <v>216</v>
      </c>
      <c r="H34" t="s">
        <v>165</v>
      </c>
      <c r="I34" t="s">
        <v>166</v>
      </c>
      <c r="J34" t="s">
        <v>199</v>
      </c>
      <c r="K34" s="12">
        <v>43467</v>
      </c>
    </row>
    <row r="35" spans="1:12" x14ac:dyDescent="0.25">
      <c r="E35" t="s">
        <v>260</v>
      </c>
      <c r="F35">
        <v>0.34200000000000003</v>
      </c>
      <c r="G35" t="s">
        <v>210</v>
      </c>
      <c r="H35" t="s">
        <v>165</v>
      </c>
      <c r="I35" t="s">
        <v>166</v>
      </c>
      <c r="J35" t="s">
        <v>199</v>
      </c>
      <c r="K35" s="12">
        <v>43467</v>
      </c>
    </row>
    <row r="36" spans="1:12" x14ac:dyDescent="0.25">
      <c r="E36" t="s">
        <v>261</v>
      </c>
      <c r="F36" s="4">
        <f>ROUND(F34/18, 2)</f>
        <v>7.94</v>
      </c>
      <c r="G36" t="s">
        <v>211</v>
      </c>
      <c r="H36" t="s">
        <v>237</v>
      </c>
      <c r="I36" t="s">
        <v>167</v>
      </c>
      <c r="J36" t="s">
        <v>199</v>
      </c>
      <c r="K36" s="12">
        <v>43467</v>
      </c>
    </row>
    <row r="37" spans="1:12" x14ac:dyDescent="0.25">
      <c r="A37" t="s">
        <v>3</v>
      </c>
      <c r="B37" t="s">
        <v>188</v>
      </c>
      <c r="C37" t="s">
        <v>7</v>
      </c>
      <c r="D37" t="s">
        <v>310</v>
      </c>
      <c r="E37" t="s">
        <v>150</v>
      </c>
      <c r="I37" t="s">
        <v>17</v>
      </c>
      <c r="J37" t="s">
        <v>199</v>
      </c>
      <c r="K37" s="12">
        <v>43467</v>
      </c>
    </row>
    <row r="38" spans="1:12" x14ac:dyDescent="0.25">
      <c r="E38" t="s">
        <v>260</v>
      </c>
      <c r="F38" s="2">
        <v>0.1</v>
      </c>
      <c r="G38" t="s">
        <v>210</v>
      </c>
      <c r="H38" t="s">
        <v>238</v>
      </c>
      <c r="I38" t="s">
        <v>168</v>
      </c>
      <c r="J38" t="s">
        <v>199</v>
      </c>
      <c r="K38" s="12">
        <v>43467</v>
      </c>
    </row>
    <row r="39" spans="1:12" x14ac:dyDescent="0.25">
      <c r="E39" t="s">
        <v>269</v>
      </c>
      <c r="F39" s="5">
        <f>ROUND(F38*3800, 0)</f>
        <v>380</v>
      </c>
      <c r="G39" t="s">
        <v>217</v>
      </c>
      <c r="H39" t="s">
        <v>239</v>
      </c>
      <c r="I39" t="s">
        <v>168</v>
      </c>
      <c r="J39" t="s">
        <v>199</v>
      </c>
      <c r="K39" s="12">
        <v>43467</v>
      </c>
    </row>
    <row r="40" spans="1:12" x14ac:dyDescent="0.25">
      <c r="E40" t="s">
        <v>262</v>
      </c>
      <c r="F40" s="5">
        <f>ROUND((F39*0.2)/0.55, 0)</f>
        <v>138</v>
      </c>
      <c r="G40" t="s">
        <v>212</v>
      </c>
      <c r="H40" t="s">
        <v>240</v>
      </c>
      <c r="I40" t="s">
        <v>169</v>
      </c>
      <c r="J40" t="s">
        <v>199</v>
      </c>
      <c r="K40" s="12">
        <v>43467</v>
      </c>
    </row>
    <row r="41" spans="1:12" x14ac:dyDescent="0.25">
      <c r="E41" t="s">
        <v>261</v>
      </c>
      <c r="F41" s="4">
        <f>ROUND(F39/150, 2)</f>
        <v>2.5299999999999998</v>
      </c>
      <c r="G41" t="s">
        <v>211</v>
      </c>
      <c r="H41" t="s">
        <v>241</v>
      </c>
      <c r="I41" t="s">
        <v>168</v>
      </c>
      <c r="J41" t="s">
        <v>199</v>
      </c>
      <c r="K41" s="12">
        <v>43467</v>
      </c>
    </row>
    <row r="42" spans="1:12" x14ac:dyDescent="0.25">
      <c r="A42" t="s">
        <v>3</v>
      </c>
      <c r="B42" t="s">
        <v>188</v>
      </c>
      <c r="C42" t="s">
        <v>7</v>
      </c>
      <c r="D42" s="1" t="s">
        <v>309</v>
      </c>
      <c r="E42" t="s">
        <v>150</v>
      </c>
      <c r="I42" t="s">
        <v>17</v>
      </c>
      <c r="J42" t="s">
        <v>199</v>
      </c>
      <c r="K42" s="12">
        <v>43467</v>
      </c>
    </row>
    <row r="43" spans="1:12" x14ac:dyDescent="0.25">
      <c r="E43" t="s">
        <v>260</v>
      </c>
      <c r="F43" s="2">
        <f>ROUND((0.01+0.035)/2, 4)</f>
        <v>2.2499999999999999E-2</v>
      </c>
      <c r="G43" t="s">
        <v>210</v>
      </c>
      <c r="H43" t="s">
        <v>195</v>
      </c>
      <c r="I43" t="s">
        <v>101</v>
      </c>
      <c r="J43" t="s">
        <v>199</v>
      </c>
      <c r="K43" s="12">
        <v>43467</v>
      </c>
    </row>
    <row r="44" spans="1:12" x14ac:dyDescent="0.25">
      <c r="E44" t="s">
        <v>51</v>
      </c>
      <c r="F44" s="2">
        <f>ROUND(F43*((280+330)/2), 2)</f>
        <v>6.86</v>
      </c>
      <c r="G44" t="s">
        <v>218</v>
      </c>
      <c r="H44" t="s">
        <v>170</v>
      </c>
      <c r="I44" t="s">
        <v>102</v>
      </c>
      <c r="J44" t="s">
        <v>199</v>
      </c>
      <c r="K44" s="12">
        <v>43467</v>
      </c>
    </row>
    <row r="45" spans="1:12" x14ac:dyDescent="0.25">
      <c r="E45" t="s">
        <v>108</v>
      </c>
      <c r="F45" s="2">
        <f>ROUND(F44*0.1, 3)</f>
        <v>0.68600000000000005</v>
      </c>
      <c r="G45" t="s">
        <v>219</v>
      </c>
      <c r="H45" t="s">
        <v>171</v>
      </c>
      <c r="I45" t="s">
        <v>17</v>
      </c>
      <c r="J45" t="s">
        <v>199</v>
      </c>
      <c r="K45" s="12">
        <v>43467</v>
      </c>
    </row>
    <row r="46" spans="1:12" s="1" customFormat="1" x14ac:dyDescent="0.25">
      <c r="A46" s="1" t="s">
        <v>3</v>
      </c>
      <c r="B46" s="1" t="s">
        <v>188</v>
      </c>
      <c r="C46" s="1" t="s">
        <v>7</v>
      </c>
      <c r="D46" s="1" t="s">
        <v>52</v>
      </c>
      <c r="I46" s="1" t="s">
        <v>17</v>
      </c>
      <c r="J46" t="s">
        <v>199</v>
      </c>
      <c r="K46" s="12">
        <v>43449</v>
      </c>
      <c r="L46" s="1" t="s">
        <v>194</v>
      </c>
    </row>
    <row r="47" spans="1:12" x14ac:dyDescent="0.25">
      <c r="E47" t="s">
        <v>50</v>
      </c>
      <c r="F47">
        <v>0.03</v>
      </c>
      <c r="G47" t="s">
        <v>210</v>
      </c>
      <c r="H47" t="s">
        <v>196</v>
      </c>
      <c r="I47" t="s">
        <v>103</v>
      </c>
      <c r="J47" t="s">
        <v>199</v>
      </c>
      <c r="K47" s="12">
        <v>43449</v>
      </c>
    </row>
    <row r="48" spans="1:12" x14ac:dyDescent="0.25">
      <c r="A48" t="s">
        <v>3</v>
      </c>
      <c r="B48" t="s">
        <v>188</v>
      </c>
      <c r="C48" t="s">
        <v>6</v>
      </c>
      <c r="D48" s="1" t="s">
        <v>308</v>
      </c>
      <c r="E48" t="s">
        <v>150</v>
      </c>
      <c r="H48" t="s">
        <v>295</v>
      </c>
      <c r="I48" t="s">
        <v>63</v>
      </c>
      <c r="J48" t="s">
        <v>199</v>
      </c>
      <c r="K48" s="12">
        <v>43467</v>
      </c>
    </row>
    <row r="49" spans="1:12" x14ac:dyDescent="0.25">
      <c r="D49" s="1"/>
      <c r="E49" s="1" t="s">
        <v>260</v>
      </c>
      <c r="F49" s="2">
        <f>0.283+0.024</f>
        <v>0.307</v>
      </c>
      <c r="G49" t="s">
        <v>210</v>
      </c>
      <c r="H49" t="s">
        <v>64</v>
      </c>
      <c r="I49" t="s">
        <v>307</v>
      </c>
      <c r="J49" t="s">
        <v>199</v>
      </c>
      <c r="K49" s="12">
        <v>43467</v>
      </c>
    </row>
    <row r="50" spans="1:12" x14ac:dyDescent="0.25">
      <c r="D50" s="1"/>
      <c r="E50" s="1" t="s">
        <v>261</v>
      </c>
      <c r="F50" s="2">
        <f>ROUND(F49/(((3500*0.16)+(365.25*0.25))/3500)*1.05, 2)</f>
        <v>1.73</v>
      </c>
      <c r="G50" t="s">
        <v>211</v>
      </c>
      <c r="H50" t="s">
        <v>234</v>
      </c>
      <c r="I50" t="s">
        <v>61</v>
      </c>
      <c r="J50" t="s">
        <v>199</v>
      </c>
      <c r="K50" s="12">
        <v>43467</v>
      </c>
    </row>
    <row r="51" spans="1:12" x14ac:dyDescent="0.25">
      <c r="A51" t="s">
        <v>3</v>
      </c>
      <c r="B51" t="s">
        <v>188</v>
      </c>
      <c r="C51" t="s">
        <v>189</v>
      </c>
      <c r="D51" t="s">
        <v>190</v>
      </c>
      <c r="E51" t="s">
        <v>192</v>
      </c>
      <c r="F51">
        <f>ROUND(80000/2/120, 0)</f>
        <v>333</v>
      </c>
      <c r="G51" t="s">
        <v>220</v>
      </c>
      <c r="H51" t="s">
        <v>242</v>
      </c>
      <c r="I51" t="s">
        <v>191</v>
      </c>
      <c r="J51" t="s">
        <v>199</v>
      </c>
      <c r="K51" s="12">
        <v>43449</v>
      </c>
    </row>
    <row r="52" spans="1:12" x14ac:dyDescent="0.25">
      <c r="A52" t="s">
        <v>3</v>
      </c>
      <c r="B52" t="s">
        <v>5</v>
      </c>
      <c r="C52" t="s">
        <v>10</v>
      </c>
      <c r="D52" t="s">
        <v>180</v>
      </c>
      <c r="E52" t="s">
        <v>150</v>
      </c>
      <c r="H52" t="s">
        <v>305</v>
      </c>
      <c r="I52" t="s">
        <v>17</v>
      </c>
      <c r="J52" t="s">
        <v>199</v>
      </c>
      <c r="K52" s="12">
        <v>43449</v>
      </c>
    </row>
    <row r="53" spans="1:12" x14ac:dyDescent="0.25">
      <c r="E53" t="s">
        <v>54</v>
      </c>
      <c r="F53">
        <f>2.3*2</f>
        <v>4.5999999999999996</v>
      </c>
      <c r="G53" t="s">
        <v>214</v>
      </c>
      <c r="H53" t="s">
        <v>179</v>
      </c>
      <c r="I53" t="s">
        <v>63</v>
      </c>
      <c r="J53" t="s">
        <v>199</v>
      </c>
      <c r="K53" s="12">
        <v>43449</v>
      </c>
    </row>
    <row r="54" spans="1:12" x14ac:dyDescent="0.25">
      <c r="E54" t="s">
        <v>55</v>
      </c>
      <c r="F54">
        <f>2.7*2</f>
        <v>5.4</v>
      </c>
      <c r="G54" t="s">
        <v>214</v>
      </c>
      <c r="H54" t="s">
        <v>178</v>
      </c>
      <c r="I54" t="s">
        <v>63</v>
      </c>
      <c r="J54" t="s">
        <v>199</v>
      </c>
      <c r="K54" s="12">
        <v>43449</v>
      </c>
    </row>
    <row r="55" spans="1:12" x14ac:dyDescent="0.25">
      <c r="E55" t="s">
        <v>6</v>
      </c>
      <c r="F55" s="7">
        <f>0.352+0.06+0.33+0.17</f>
        <v>0.91200000000000003</v>
      </c>
      <c r="G55" t="s">
        <v>210</v>
      </c>
      <c r="H55" t="s">
        <v>273</v>
      </c>
      <c r="I55" t="s">
        <v>174</v>
      </c>
      <c r="J55" t="s">
        <v>199</v>
      </c>
      <c r="K55" s="12">
        <v>43467</v>
      </c>
    </row>
    <row r="56" spans="1:12" x14ac:dyDescent="0.25">
      <c r="A56" t="s">
        <v>3</v>
      </c>
      <c r="B56" t="s">
        <v>5</v>
      </c>
      <c r="C56" t="s">
        <v>10</v>
      </c>
      <c r="D56" t="s">
        <v>127</v>
      </c>
      <c r="E56" t="s">
        <v>150</v>
      </c>
      <c r="J56" t="s">
        <v>199</v>
      </c>
      <c r="K56" s="12">
        <v>43449</v>
      </c>
    </row>
    <row r="57" spans="1:12" x14ac:dyDescent="0.25">
      <c r="E57" t="s">
        <v>118</v>
      </c>
      <c r="F57" s="9">
        <f>ROUND(4.546/(8/5), 2)</f>
        <v>2.84</v>
      </c>
      <c r="H57" t="s">
        <v>173</v>
      </c>
      <c r="J57" t="s">
        <v>199</v>
      </c>
      <c r="K57" s="12">
        <v>43449</v>
      </c>
    </row>
    <row r="58" spans="1:12" x14ac:dyDescent="0.25">
      <c r="E58" t="s">
        <v>117</v>
      </c>
      <c r="F58" s="1"/>
      <c r="J58" t="s">
        <v>199</v>
      </c>
      <c r="K58" s="12">
        <v>43449</v>
      </c>
    </row>
    <row r="59" spans="1:12" x14ac:dyDescent="0.25">
      <c r="E59" t="s">
        <v>116</v>
      </c>
      <c r="F59" s="1">
        <v>2E-3</v>
      </c>
      <c r="H59" t="s">
        <v>175</v>
      </c>
      <c r="I59" t="s">
        <v>176</v>
      </c>
      <c r="J59" t="s">
        <v>199</v>
      </c>
      <c r="K59" s="12">
        <v>43467</v>
      </c>
      <c r="L59" t="s">
        <v>272</v>
      </c>
    </row>
    <row r="60" spans="1:12" x14ac:dyDescent="0.25">
      <c r="A60" t="s">
        <v>3</v>
      </c>
      <c r="B60" t="s">
        <v>5</v>
      </c>
      <c r="C60" t="s">
        <v>10</v>
      </c>
      <c r="D60" t="s">
        <v>172</v>
      </c>
      <c r="H60" t="s">
        <v>177</v>
      </c>
      <c r="I60" t="s">
        <v>17</v>
      </c>
      <c r="J60" t="s">
        <v>199</v>
      </c>
      <c r="K60" s="12">
        <v>43449</v>
      </c>
    </row>
    <row r="61" spans="1:12" x14ac:dyDescent="0.25">
      <c r="A61" t="s">
        <v>3</v>
      </c>
      <c r="B61" t="s">
        <v>5</v>
      </c>
      <c r="C61" t="s">
        <v>10</v>
      </c>
      <c r="D61" t="s">
        <v>303</v>
      </c>
      <c r="E61" t="s">
        <v>150</v>
      </c>
      <c r="H61" t="s">
        <v>302</v>
      </c>
      <c r="I61" t="s">
        <v>17</v>
      </c>
      <c r="J61" t="s">
        <v>199</v>
      </c>
      <c r="K61" s="12">
        <v>43449</v>
      </c>
    </row>
    <row r="62" spans="1:12" x14ac:dyDescent="0.25">
      <c r="E62" t="s">
        <v>57</v>
      </c>
      <c r="F62">
        <f>8/5</f>
        <v>1.6</v>
      </c>
      <c r="J62" t="s">
        <v>199</v>
      </c>
      <c r="K62" s="12">
        <v>43449</v>
      </c>
    </row>
    <row r="63" spans="1:12" x14ac:dyDescent="0.25">
      <c r="E63" t="s">
        <v>59</v>
      </c>
      <c r="F63">
        <v>1</v>
      </c>
      <c r="J63" t="s">
        <v>199</v>
      </c>
      <c r="K63" s="12">
        <v>43449</v>
      </c>
    </row>
    <row r="64" spans="1:12" x14ac:dyDescent="0.25">
      <c r="A64" t="s">
        <v>3</v>
      </c>
      <c r="B64" t="s">
        <v>5</v>
      </c>
      <c r="C64" t="s">
        <v>10</v>
      </c>
      <c r="D64" t="s">
        <v>128</v>
      </c>
      <c r="E64" t="s">
        <v>150</v>
      </c>
      <c r="I64" t="s">
        <v>17</v>
      </c>
      <c r="J64" t="s">
        <v>199</v>
      </c>
      <c r="K64" s="12">
        <v>43449</v>
      </c>
    </row>
    <row r="65" spans="1:11" x14ac:dyDescent="0.25">
      <c r="E65" t="s">
        <v>57</v>
      </c>
      <c r="F65">
        <v>0.13</v>
      </c>
      <c r="G65" t="s">
        <v>221</v>
      </c>
      <c r="H65" t="s">
        <v>243</v>
      </c>
      <c r="I65" t="s">
        <v>244</v>
      </c>
      <c r="J65" t="s">
        <v>199</v>
      </c>
      <c r="K65" s="12">
        <v>43449</v>
      </c>
    </row>
    <row r="66" spans="1:11" x14ac:dyDescent="0.25">
      <c r="E66" t="s">
        <v>59</v>
      </c>
      <c r="F66">
        <v>0.08</v>
      </c>
      <c r="G66" t="s">
        <v>222</v>
      </c>
      <c r="H66" t="s">
        <v>245</v>
      </c>
      <c r="I66" t="s">
        <v>244</v>
      </c>
      <c r="J66" t="s">
        <v>199</v>
      </c>
      <c r="K66" s="12">
        <v>43449</v>
      </c>
    </row>
    <row r="67" spans="1:11" x14ac:dyDescent="0.25">
      <c r="E67" t="s">
        <v>56</v>
      </c>
      <c r="F67" s="5">
        <f>12*F65*52</f>
        <v>81.12</v>
      </c>
      <c r="G67" t="s">
        <v>223</v>
      </c>
      <c r="H67" t="s">
        <v>246</v>
      </c>
      <c r="I67" t="s">
        <v>244</v>
      </c>
      <c r="J67" t="s">
        <v>199</v>
      </c>
      <c r="K67" s="12">
        <v>43449</v>
      </c>
    </row>
    <row r="68" spans="1:11" x14ac:dyDescent="0.25">
      <c r="A68" t="s">
        <v>3</v>
      </c>
      <c r="B68" t="s">
        <v>5</v>
      </c>
      <c r="C68" t="s">
        <v>9</v>
      </c>
      <c r="D68" t="s">
        <v>129</v>
      </c>
      <c r="E68" t="s">
        <v>150</v>
      </c>
      <c r="I68" t="s">
        <v>17</v>
      </c>
      <c r="J68" t="s">
        <v>199</v>
      </c>
      <c r="K68" s="12">
        <v>43449</v>
      </c>
    </row>
    <row r="69" spans="1:11" x14ac:dyDescent="0.25">
      <c r="E69" t="s">
        <v>57</v>
      </c>
      <c r="F69">
        <v>0.12</v>
      </c>
      <c r="G69" t="s">
        <v>221</v>
      </c>
      <c r="H69" t="s">
        <v>107</v>
      </c>
      <c r="I69" t="s">
        <v>17</v>
      </c>
      <c r="J69" t="s">
        <v>199</v>
      </c>
      <c r="K69" s="12">
        <v>43449</v>
      </c>
    </row>
    <row r="70" spans="1:11" x14ac:dyDescent="0.25">
      <c r="E70" t="s">
        <v>59</v>
      </c>
      <c r="F70">
        <v>0.06</v>
      </c>
      <c r="G70" t="s">
        <v>222</v>
      </c>
      <c r="H70" t="s">
        <v>107</v>
      </c>
      <c r="I70" t="s">
        <v>17</v>
      </c>
      <c r="J70" t="s">
        <v>199</v>
      </c>
      <c r="K70" s="12">
        <v>43449</v>
      </c>
    </row>
    <row r="71" spans="1:11" x14ac:dyDescent="0.25">
      <c r="E71" t="s">
        <v>56</v>
      </c>
      <c r="F71">
        <f>((300+450)/2)</f>
        <v>375</v>
      </c>
      <c r="G71" t="s">
        <v>223</v>
      </c>
      <c r="H71" t="s">
        <v>107</v>
      </c>
      <c r="I71" t="s">
        <v>17</v>
      </c>
      <c r="J71" t="s">
        <v>199</v>
      </c>
      <c r="K71" s="12">
        <v>43449</v>
      </c>
    </row>
    <row r="72" spans="1:11" x14ac:dyDescent="0.25">
      <c r="A72" t="s">
        <v>3</v>
      </c>
      <c r="B72" t="s">
        <v>5</v>
      </c>
      <c r="C72" t="s">
        <v>9</v>
      </c>
      <c r="D72" t="s">
        <v>130</v>
      </c>
      <c r="E72" t="s">
        <v>150</v>
      </c>
      <c r="I72" t="s">
        <v>17</v>
      </c>
      <c r="J72" t="s">
        <v>199</v>
      </c>
      <c r="K72" s="12">
        <v>43449</v>
      </c>
    </row>
    <row r="73" spans="1:11" x14ac:dyDescent="0.25">
      <c r="E73" t="s">
        <v>57</v>
      </c>
      <c r="F73">
        <v>0.17</v>
      </c>
      <c r="G73" t="s">
        <v>221</v>
      </c>
      <c r="H73" t="s">
        <v>107</v>
      </c>
      <c r="I73" t="s">
        <v>17</v>
      </c>
      <c r="J73" t="s">
        <v>199</v>
      </c>
      <c r="K73" s="12">
        <v>43449</v>
      </c>
    </row>
    <row r="74" spans="1:11" x14ac:dyDescent="0.25">
      <c r="E74" t="s">
        <v>59</v>
      </c>
      <c r="F74" s="2">
        <v>0.1</v>
      </c>
      <c r="G74" t="s">
        <v>222</v>
      </c>
      <c r="H74" t="s">
        <v>107</v>
      </c>
      <c r="I74" t="s">
        <v>17</v>
      </c>
      <c r="J74" t="s">
        <v>199</v>
      </c>
      <c r="K74" s="12">
        <v>43449</v>
      </c>
    </row>
    <row r="75" spans="1:11" x14ac:dyDescent="0.25">
      <c r="E75" t="s">
        <v>56</v>
      </c>
      <c r="F75">
        <v>150</v>
      </c>
      <c r="G75" t="s">
        <v>223</v>
      </c>
      <c r="H75" t="s">
        <v>107</v>
      </c>
      <c r="I75" t="s">
        <v>17</v>
      </c>
      <c r="J75" t="s">
        <v>199</v>
      </c>
      <c r="K75" s="12">
        <v>43449</v>
      </c>
    </row>
    <row r="76" spans="1:11" x14ac:dyDescent="0.25">
      <c r="A76" t="s">
        <v>3</v>
      </c>
      <c r="B76" t="s">
        <v>5</v>
      </c>
      <c r="C76" t="s">
        <v>9</v>
      </c>
      <c r="D76" t="s">
        <v>131</v>
      </c>
      <c r="E76" t="s">
        <v>150</v>
      </c>
      <c r="I76" t="s">
        <v>17</v>
      </c>
      <c r="J76" t="s">
        <v>199</v>
      </c>
      <c r="K76" s="12">
        <v>43449</v>
      </c>
    </row>
    <row r="77" spans="1:11" x14ac:dyDescent="0.25">
      <c r="E77" t="s">
        <v>57</v>
      </c>
      <c r="F77">
        <v>0.17</v>
      </c>
      <c r="G77" t="s">
        <v>221</v>
      </c>
      <c r="H77" t="s">
        <v>107</v>
      </c>
      <c r="I77" t="s">
        <v>17</v>
      </c>
      <c r="J77" t="s">
        <v>199</v>
      </c>
      <c r="K77" s="12">
        <v>43449</v>
      </c>
    </row>
    <row r="78" spans="1:11" x14ac:dyDescent="0.25">
      <c r="E78" t="s">
        <v>59</v>
      </c>
      <c r="F78" s="2">
        <v>0.1</v>
      </c>
      <c r="G78" t="s">
        <v>222</v>
      </c>
      <c r="H78" t="s">
        <v>107</v>
      </c>
      <c r="I78" t="s">
        <v>17</v>
      </c>
      <c r="J78" t="s">
        <v>199</v>
      </c>
      <c r="K78" s="12">
        <v>43449</v>
      </c>
    </row>
    <row r="79" spans="1:11" x14ac:dyDescent="0.25">
      <c r="E79" t="s">
        <v>56</v>
      </c>
      <c r="F79">
        <v>200</v>
      </c>
      <c r="G79" t="s">
        <v>223</v>
      </c>
      <c r="H79" t="s">
        <v>107</v>
      </c>
      <c r="I79" t="s">
        <v>17</v>
      </c>
      <c r="J79" t="s">
        <v>199</v>
      </c>
      <c r="K79" s="12">
        <v>43449</v>
      </c>
    </row>
    <row r="80" spans="1:11" x14ac:dyDescent="0.25">
      <c r="A80" t="s">
        <v>3</v>
      </c>
      <c r="B80" t="s">
        <v>5</v>
      </c>
      <c r="C80" t="s">
        <v>9</v>
      </c>
      <c r="D80" t="s">
        <v>132</v>
      </c>
      <c r="E80" t="s">
        <v>150</v>
      </c>
      <c r="I80" t="s">
        <v>17</v>
      </c>
      <c r="J80" t="s">
        <v>199</v>
      </c>
      <c r="K80" s="12">
        <v>43449</v>
      </c>
    </row>
    <row r="81" spans="1:12" x14ac:dyDescent="0.25">
      <c r="E81" t="s">
        <v>57</v>
      </c>
      <c r="F81">
        <v>0.08</v>
      </c>
      <c r="G81" t="s">
        <v>221</v>
      </c>
      <c r="H81" t="s">
        <v>107</v>
      </c>
      <c r="I81" t="s">
        <v>17</v>
      </c>
      <c r="J81" t="s">
        <v>199</v>
      </c>
      <c r="K81" s="12">
        <v>43449</v>
      </c>
    </row>
    <row r="82" spans="1:12" x14ac:dyDescent="0.25">
      <c r="E82" t="s">
        <v>59</v>
      </c>
      <c r="F82">
        <v>0.05</v>
      </c>
      <c r="G82" t="s">
        <v>222</v>
      </c>
      <c r="H82" t="s">
        <v>107</v>
      </c>
      <c r="I82" t="s">
        <v>17</v>
      </c>
      <c r="J82" t="s">
        <v>199</v>
      </c>
      <c r="K82" s="12">
        <v>43449</v>
      </c>
    </row>
    <row r="83" spans="1:12" x14ac:dyDescent="0.25">
      <c r="E83" t="s">
        <v>56</v>
      </c>
      <c r="F83">
        <v>160</v>
      </c>
      <c r="G83" t="s">
        <v>223</v>
      </c>
      <c r="H83" t="s">
        <v>107</v>
      </c>
      <c r="I83" t="s">
        <v>17</v>
      </c>
      <c r="J83" t="s">
        <v>199</v>
      </c>
      <c r="K83" s="12">
        <v>43449</v>
      </c>
    </row>
    <row r="84" spans="1:12" x14ac:dyDescent="0.25">
      <c r="A84" t="s">
        <v>3</v>
      </c>
      <c r="B84" t="s">
        <v>5</v>
      </c>
      <c r="C84" t="s">
        <v>19</v>
      </c>
      <c r="D84" t="s">
        <v>133</v>
      </c>
      <c r="E84" t="s">
        <v>150</v>
      </c>
      <c r="I84" t="s">
        <v>17</v>
      </c>
      <c r="J84" t="s">
        <v>199</v>
      </c>
      <c r="K84" s="12">
        <v>43449</v>
      </c>
      <c r="L84" t="s">
        <v>280</v>
      </c>
    </row>
    <row r="85" spans="1:12" x14ac:dyDescent="0.25">
      <c r="E85" t="s">
        <v>57</v>
      </c>
      <c r="F85" s="2">
        <f>F86*(8/5)</f>
        <v>0.8</v>
      </c>
      <c r="G85" t="s">
        <v>221</v>
      </c>
      <c r="H85" t="s">
        <v>110</v>
      </c>
      <c r="I85" t="s">
        <v>17</v>
      </c>
      <c r="J85" t="s">
        <v>199</v>
      </c>
      <c r="K85" s="12">
        <v>43449</v>
      </c>
      <c r="L85" t="s">
        <v>280</v>
      </c>
    </row>
    <row r="86" spans="1:12" x14ac:dyDescent="0.25">
      <c r="E86" t="s">
        <v>59</v>
      </c>
      <c r="F86" s="2">
        <v>0.5</v>
      </c>
      <c r="G86" t="s">
        <v>222</v>
      </c>
      <c r="H86" t="s">
        <v>110</v>
      </c>
      <c r="I86" t="s">
        <v>17</v>
      </c>
      <c r="J86" t="s">
        <v>199</v>
      </c>
      <c r="K86" s="12">
        <v>43449</v>
      </c>
      <c r="L86" t="s">
        <v>280</v>
      </c>
    </row>
    <row r="87" spans="1:12" x14ac:dyDescent="0.25">
      <c r="E87" t="s">
        <v>58</v>
      </c>
      <c r="F87" s="6">
        <f>ROUND(F169*1000, 0)</f>
        <v>200</v>
      </c>
      <c r="G87" t="s">
        <v>224</v>
      </c>
      <c r="H87" t="s">
        <v>111</v>
      </c>
      <c r="I87" t="s">
        <v>106</v>
      </c>
      <c r="J87" t="s">
        <v>199</v>
      </c>
      <c r="K87" s="12">
        <v>43449</v>
      </c>
      <c r="L87" t="s">
        <v>280</v>
      </c>
    </row>
    <row r="88" spans="1:12" x14ac:dyDescent="0.25">
      <c r="A88" t="s">
        <v>3</v>
      </c>
      <c r="B88" t="s">
        <v>5</v>
      </c>
      <c r="C88" t="s">
        <v>19</v>
      </c>
      <c r="D88" t="s">
        <v>134</v>
      </c>
      <c r="E88" t="s">
        <v>150</v>
      </c>
      <c r="I88" t="s">
        <v>17</v>
      </c>
      <c r="J88" t="s">
        <v>199</v>
      </c>
      <c r="K88" s="12">
        <v>43449</v>
      </c>
      <c r="L88" t="s">
        <v>280</v>
      </c>
    </row>
    <row r="89" spans="1:12" x14ac:dyDescent="0.25">
      <c r="E89" t="s">
        <v>57</v>
      </c>
      <c r="F89">
        <f>F90*(8/5)</f>
        <v>0.48</v>
      </c>
      <c r="G89" t="s">
        <v>221</v>
      </c>
      <c r="H89" t="s">
        <v>110</v>
      </c>
      <c r="I89" t="s">
        <v>17</v>
      </c>
      <c r="J89" t="s">
        <v>199</v>
      </c>
      <c r="K89" s="12">
        <v>43449</v>
      </c>
      <c r="L89" t="s">
        <v>280</v>
      </c>
    </row>
    <row r="90" spans="1:12" x14ac:dyDescent="0.25">
      <c r="E90" t="s">
        <v>59</v>
      </c>
      <c r="F90" s="2">
        <v>0.3</v>
      </c>
      <c r="G90" t="s">
        <v>222</v>
      </c>
      <c r="H90" t="s">
        <v>110</v>
      </c>
      <c r="I90" t="s">
        <v>17</v>
      </c>
      <c r="J90" t="s">
        <v>199</v>
      </c>
      <c r="K90" s="12">
        <v>43449</v>
      </c>
      <c r="L90" t="s">
        <v>280</v>
      </c>
    </row>
    <row r="91" spans="1:12" x14ac:dyDescent="0.25">
      <c r="E91" t="s">
        <v>58</v>
      </c>
      <c r="F91" s="5">
        <f>ROUND(F181*1000, 0)</f>
        <v>253</v>
      </c>
      <c r="G91" t="s">
        <v>224</v>
      </c>
      <c r="H91" t="s">
        <v>111</v>
      </c>
      <c r="I91" t="s">
        <v>106</v>
      </c>
      <c r="J91" t="s">
        <v>199</v>
      </c>
      <c r="K91" s="12">
        <v>43449</v>
      </c>
      <c r="L91" t="s">
        <v>280</v>
      </c>
    </row>
    <row r="92" spans="1:12" x14ac:dyDescent="0.25">
      <c r="A92" t="s">
        <v>3</v>
      </c>
      <c r="B92" t="s">
        <v>5</v>
      </c>
      <c r="C92" t="s">
        <v>19</v>
      </c>
      <c r="D92" t="s">
        <v>153</v>
      </c>
      <c r="F92">
        <v>500</v>
      </c>
      <c r="G92" t="s">
        <v>225</v>
      </c>
      <c r="H92" t="s">
        <v>112</v>
      </c>
      <c r="I92" t="s">
        <v>17</v>
      </c>
      <c r="J92" t="s">
        <v>199</v>
      </c>
      <c r="K92" s="12">
        <v>43449</v>
      </c>
      <c r="L92" t="s">
        <v>280</v>
      </c>
    </row>
    <row r="93" spans="1:12" x14ac:dyDescent="0.25">
      <c r="A93" t="s">
        <v>3</v>
      </c>
      <c r="B93" t="s">
        <v>5</v>
      </c>
      <c r="C93" t="s">
        <v>19</v>
      </c>
      <c r="D93" t="s">
        <v>247</v>
      </c>
      <c r="F93">
        <v>800</v>
      </c>
      <c r="G93" t="s">
        <v>225</v>
      </c>
      <c r="H93" t="s">
        <v>112</v>
      </c>
      <c r="I93" t="s">
        <v>17</v>
      </c>
      <c r="J93" t="s">
        <v>199</v>
      </c>
      <c r="K93" s="12">
        <v>43449</v>
      </c>
      <c r="L93" t="s">
        <v>280</v>
      </c>
    </row>
    <row r="94" spans="1:12" x14ac:dyDescent="0.25">
      <c r="A94" t="s">
        <v>3</v>
      </c>
      <c r="B94" t="s">
        <v>5</v>
      </c>
      <c r="C94" t="s">
        <v>19</v>
      </c>
      <c r="D94" t="s">
        <v>154</v>
      </c>
      <c r="F94">
        <v>3200</v>
      </c>
      <c r="G94" t="s">
        <v>225</v>
      </c>
      <c r="H94" t="s">
        <v>112</v>
      </c>
      <c r="I94" t="s">
        <v>17</v>
      </c>
      <c r="J94" t="s">
        <v>199</v>
      </c>
      <c r="K94" s="12">
        <v>43449</v>
      </c>
      <c r="L94" t="s">
        <v>280</v>
      </c>
    </row>
    <row r="95" spans="1:12" x14ac:dyDescent="0.25">
      <c r="A95" t="s">
        <v>3</v>
      </c>
      <c r="B95" t="s">
        <v>5</v>
      </c>
      <c r="C95" t="s">
        <v>19</v>
      </c>
      <c r="D95" t="s">
        <v>155</v>
      </c>
      <c r="F95">
        <v>4000</v>
      </c>
      <c r="G95" t="s">
        <v>225</v>
      </c>
      <c r="H95" t="s">
        <v>112</v>
      </c>
      <c r="I95" t="s">
        <v>17</v>
      </c>
      <c r="J95" t="s">
        <v>199</v>
      </c>
      <c r="K95" s="12">
        <v>43449</v>
      </c>
      <c r="L95" t="s">
        <v>280</v>
      </c>
    </row>
    <row r="96" spans="1:12" x14ac:dyDescent="0.25">
      <c r="A96" t="s">
        <v>3</v>
      </c>
      <c r="B96" t="s">
        <v>5</v>
      </c>
      <c r="C96" t="s">
        <v>19</v>
      </c>
      <c r="D96" t="s">
        <v>156</v>
      </c>
      <c r="F96">
        <v>5000</v>
      </c>
      <c r="G96" t="s">
        <v>225</v>
      </c>
      <c r="H96" t="s">
        <v>112</v>
      </c>
      <c r="I96" t="s">
        <v>17</v>
      </c>
      <c r="J96" t="s">
        <v>199</v>
      </c>
      <c r="K96" s="12">
        <v>43449</v>
      </c>
      <c r="L96" t="s">
        <v>280</v>
      </c>
    </row>
    <row r="97" spans="1:12" x14ac:dyDescent="0.25">
      <c r="A97" t="s">
        <v>3</v>
      </c>
      <c r="B97" t="s">
        <v>5</v>
      </c>
      <c r="C97" t="s">
        <v>19</v>
      </c>
      <c r="D97" t="s">
        <v>157</v>
      </c>
      <c r="F97">
        <v>5800</v>
      </c>
      <c r="G97" t="s">
        <v>225</v>
      </c>
      <c r="H97" t="s">
        <v>112</v>
      </c>
      <c r="I97" t="s">
        <v>17</v>
      </c>
      <c r="J97" t="s">
        <v>199</v>
      </c>
      <c r="K97" s="12">
        <v>43449</v>
      </c>
      <c r="L97" t="s">
        <v>280</v>
      </c>
    </row>
    <row r="98" spans="1:12" x14ac:dyDescent="0.25">
      <c r="A98" t="s">
        <v>3</v>
      </c>
      <c r="B98" t="s">
        <v>5</v>
      </c>
      <c r="C98" t="s">
        <v>19</v>
      </c>
      <c r="D98" t="s">
        <v>158</v>
      </c>
      <c r="F98">
        <v>6500</v>
      </c>
      <c r="G98" t="s">
        <v>225</v>
      </c>
      <c r="H98" t="s">
        <v>112</v>
      </c>
      <c r="I98" t="s">
        <v>17</v>
      </c>
      <c r="J98" t="s">
        <v>199</v>
      </c>
      <c r="K98" s="12">
        <v>43449</v>
      </c>
      <c r="L98" t="s">
        <v>280</v>
      </c>
    </row>
    <row r="99" spans="1:12" x14ac:dyDescent="0.25">
      <c r="A99" t="s">
        <v>3</v>
      </c>
      <c r="B99" t="s">
        <v>5</v>
      </c>
      <c r="C99" t="s">
        <v>19</v>
      </c>
      <c r="D99" t="s">
        <v>159</v>
      </c>
      <c r="F99">
        <v>11000</v>
      </c>
      <c r="G99" t="s">
        <v>225</v>
      </c>
      <c r="H99" t="s">
        <v>112</v>
      </c>
      <c r="I99" t="s">
        <v>17</v>
      </c>
      <c r="J99" t="s">
        <v>199</v>
      </c>
      <c r="K99" s="12">
        <v>43449</v>
      </c>
      <c r="L99" t="s">
        <v>280</v>
      </c>
    </row>
    <row r="100" spans="1:12" x14ac:dyDescent="0.25">
      <c r="A100" t="s">
        <v>3</v>
      </c>
      <c r="B100" t="s">
        <v>5</v>
      </c>
      <c r="C100" t="s">
        <v>19</v>
      </c>
      <c r="D100" t="s">
        <v>160</v>
      </c>
      <c r="F100">
        <v>12200</v>
      </c>
      <c r="G100" t="s">
        <v>225</v>
      </c>
      <c r="H100" t="s">
        <v>112</v>
      </c>
      <c r="I100" t="s">
        <v>17</v>
      </c>
      <c r="J100" t="s">
        <v>199</v>
      </c>
      <c r="K100" s="12">
        <v>43449</v>
      </c>
      <c r="L100" t="s">
        <v>280</v>
      </c>
    </row>
    <row r="101" spans="1:12" x14ac:dyDescent="0.25">
      <c r="A101" t="s">
        <v>3</v>
      </c>
      <c r="B101" t="s">
        <v>5</v>
      </c>
      <c r="C101" t="s">
        <v>19</v>
      </c>
      <c r="D101" t="s">
        <v>135</v>
      </c>
      <c r="E101" t="s">
        <v>150</v>
      </c>
      <c r="I101" t="s">
        <v>17</v>
      </c>
      <c r="J101" t="s">
        <v>199</v>
      </c>
      <c r="K101" s="12">
        <v>43449</v>
      </c>
    </row>
    <row r="102" spans="1:12" x14ac:dyDescent="0.25">
      <c r="E102" t="s">
        <v>57</v>
      </c>
      <c r="F102" s="2">
        <f>F103*(8/5)</f>
        <v>0.16000000000000003</v>
      </c>
      <c r="G102" t="s">
        <v>221</v>
      </c>
      <c r="H102" t="s">
        <v>110</v>
      </c>
      <c r="I102" t="s">
        <v>17</v>
      </c>
      <c r="J102" t="s">
        <v>199</v>
      </c>
      <c r="K102" s="12">
        <v>43449</v>
      </c>
    </row>
    <row r="103" spans="1:12" x14ac:dyDescent="0.25">
      <c r="E103" t="s">
        <v>59</v>
      </c>
      <c r="F103" s="2">
        <v>0.1</v>
      </c>
      <c r="G103" t="s">
        <v>222</v>
      </c>
      <c r="H103" t="s">
        <v>110</v>
      </c>
      <c r="I103" t="s">
        <v>17</v>
      </c>
      <c r="J103" t="s">
        <v>199</v>
      </c>
      <c r="K103" s="12">
        <v>43449</v>
      </c>
    </row>
    <row r="104" spans="1:12" x14ac:dyDescent="0.25">
      <c r="E104" t="s">
        <v>58</v>
      </c>
      <c r="F104" s="8">
        <f>ROUND(((29+36)/2)*F103, 2)</f>
        <v>3.25</v>
      </c>
      <c r="G104" t="s">
        <v>224</v>
      </c>
      <c r="H104" t="s">
        <v>115</v>
      </c>
      <c r="J104" t="s">
        <v>199</v>
      </c>
      <c r="K104" s="12">
        <v>43449</v>
      </c>
    </row>
    <row r="105" spans="1:12" x14ac:dyDescent="0.25">
      <c r="A105" t="s">
        <v>3</v>
      </c>
      <c r="B105" t="s">
        <v>5</v>
      </c>
      <c r="C105" t="s">
        <v>19</v>
      </c>
      <c r="D105" t="s">
        <v>136</v>
      </c>
      <c r="E105" t="s">
        <v>150</v>
      </c>
      <c r="I105" t="s">
        <v>17</v>
      </c>
      <c r="J105" t="s">
        <v>199</v>
      </c>
      <c r="K105" s="12">
        <v>43449</v>
      </c>
    </row>
    <row r="106" spans="1:12" x14ac:dyDescent="0.25">
      <c r="E106" t="s">
        <v>57</v>
      </c>
      <c r="F106" s="2">
        <f>F107*(8/5)</f>
        <v>0.8</v>
      </c>
      <c r="G106" t="s">
        <v>221</v>
      </c>
      <c r="H106" t="s">
        <v>110</v>
      </c>
      <c r="I106" t="s">
        <v>17</v>
      </c>
      <c r="J106" t="s">
        <v>199</v>
      </c>
      <c r="K106" s="12">
        <v>43449</v>
      </c>
    </row>
    <row r="107" spans="1:12" x14ac:dyDescent="0.25">
      <c r="E107" t="s">
        <v>59</v>
      </c>
      <c r="F107" s="2">
        <v>0.5</v>
      </c>
      <c r="G107" t="s">
        <v>104</v>
      </c>
      <c r="H107" t="s">
        <v>110</v>
      </c>
      <c r="I107" t="s">
        <v>17</v>
      </c>
      <c r="J107" t="s">
        <v>199</v>
      </c>
      <c r="K107" s="12">
        <v>43449</v>
      </c>
    </row>
    <row r="108" spans="1:12" x14ac:dyDescent="0.25">
      <c r="E108" t="s">
        <v>58</v>
      </c>
      <c r="F108" s="6">
        <f>ROUND((F107*146)/3, 1)</f>
        <v>24.3</v>
      </c>
      <c r="G108" t="s">
        <v>224</v>
      </c>
      <c r="H108" t="s">
        <v>248</v>
      </c>
      <c r="I108" t="s">
        <v>114</v>
      </c>
      <c r="J108" t="s">
        <v>199</v>
      </c>
      <c r="K108" s="12">
        <v>43449</v>
      </c>
    </row>
    <row r="109" spans="1:12" x14ac:dyDescent="0.25">
      <c r="A109" t="s">
        <v>3</v>
      </c>
      <c r="B109" t="s">
        <v>5</v>
      </c>
      <c r="C109" t="s">
        <v>19</v>
      </c>
      <c r="D109" t="s">
        <v>137</v>
      </c>
      <c r="E109" t="s">
        <v>150</v>
      </c>
      <c r="I109" t="s">
        <v>17</v>
      </c>
      <c r="J109" t="s">
        <v>199</v>
      </c>
      <c r="K109" s="12">
        <v>43449</v>
      </c>
    </row>
    <row r="110" spans="1:12" x14ac:dyDescent="0.25">
      <c r="E110" t="s">
        <v>57</v>
      </c>
      <c r="F110" s="2">
        <f>F111*(8/5)</f>
        <v>1.1199999999999999</v>
      </c>
      <c r="G110" t="s">
        <v>221</v>
      </c>
      <c r="H110" t="s">
        <v>110</v>
      </c>
      <c r="I110" t="s">
        <v>17</v>
      </c>
      <c r="J110" t="s">
        <v>199</v>
      </c>
      <c r="K110" s="12">
        <v>43449</v>
      </c>
    </row>
    <row r="111" spans="1:12" x14ac:dyDescent="0.25">
      <c r="E111" t="s">
        <v>59</v>
      </c>
      <c r="F111" s="2">
        <v>0.7</v>
      </c>
      <c r="G111" t="s">
        <v>222</v>
      </c>
      <c r="H111" t="s">
        <v>110</v>
      </c>
      <c r="I111" t="s">
        <v>17</v>
      </c>
      <c r="J111" t="s">
        <v>199</v>
      </c>
      <c r="K111" s="12">
        <v>43449</v>
      </c>
    </row>
    <row r="112" spans="1:12" x14ac:dyDescent="0.25">
      <c r="E112" t="s">
        <v>113</v>
      </c>
      <c r="F112" s="6">
        <v>230</v>
      </c>
      <c r="G112" s="22" t="s">
        <v>226</v>
      </c>
      <c r="I112" t="s">
        <v>17</v>
      </c>
      <c r="J112" t="s">
        <v>199</v>
      </c>
      <c r="K112" s="12">
        <v>43449</v>
      </c>
    </row>
    <row r="113" spans="1:11" x14ac:dyDescent="0.25">
      <c r="A113" t="s">
        <v>3</v>
      </c>
      <c r="B113" t="s">
        <v>8</v>
      </c>
      <c r="C113" t="s">
        <v>12</v>
      </c>
      <c r="D113" t="s">
        <v>184</v>
      </c>
      <c r="E113" t="s">
        <v>150</v>
      </c>
      <c r="I113" t="s">
        <v>17</v>
      </c>
      <c r="J113" t="s">
        <v>199</v>
      </c>
      <c r="K113" s="12">
        <v>43449</v>
      </c>
    </row>
    <row r="114" spans="1:11" x14ac:dyDescent="0.25">
      <c r="E114" t="s">
        <v>249</v>
      </c>
      <c r="F114">
        <v>2000</v>
      </c>
      <c r="G114" t="s">
        <v>227</v>
      </c>
      <c r="H114" t="s">
        <v>110</v>
      </c>
      <c r="I114" t="s">
        <v>17</v>
      </c>
      <c r="J114" t="s">
        <v>199</v>
      </c>
      <c r="K114" s="12">
        <v>43449</v>
      </c>
    </row>
    <row r="115" spans="1:11" x14ac:dyDescent="0.25">
      <c r="E115" t="s">
        <v>185</v>
      </c>
      <c r="F115">
        <v>2250</v>
      </c>
      <c r="G115" t="s">
        <v>227</v>
      </c>
      <c r="H115" t="s">
        <v>110</v>
      </c>
      <c r="I115" t="s">
        <v>17</v>
      </c>
      <c r="J115" t="s">
        <v>199</v>
      </c>
      <c r="K115" s="12">
        <v>43449</v>
      </c>
    </row>
    <row r="116" spans="1:11" x14ac:dyDescent="0.25">
      <c r="E116" t="s">
        <v>186</v>
      </c>
      <c r="F116">
        <v>1750</v>
      </c>
      <c r="G116" t="s">
        <v>227</v>
      </c>
      <c r="H116" t="s">
        <v>110</v>
      </c>
      <c r="I116" t="s">
        <v>17</v>
      </c>
      <c r="J116" t="s">
        <v>199</v>
      </c>
      <c r="K116" s="12">
        <v>43449</v>
      </c>
    </row>
    <row r="117" spans="1:11" x14ac:dyDescent="0.25">
      <c r="E117" t="s">
        <v>182</v>
      </c>
      <c r="F117">
        <v>1500</v>
      </c>
      <c r="G117" t="s">
        <v>227</v>
      </c>
      <c r="H117" t="s">
        <v>110</v>
      </c>
      <c r="I117" t="s">
        <v>17</v>
      </c>
      <c r="J117" t="s">
        <v>199</v>
      </c>
      <c r="K117" s="12">
        <v>43449</v>
      </c>
    </row>
    <row r="118" spans="1:11" x14ac:dyDescent="0.25">
      <c r="E118" t="s">
        <v>183</v>
      </c>
      <c r="F118">
        <v>1000</v>
      </c>
      <c r="G118" t="s">
        <v>227</v>
      </c>
      <c r="H118" t="s">
        <v>110</v>
      </c>
      <c r="I118" t="s">
        <v>17</v>
      </c>
      <c r="J118" t="s">
        <v>199</v>
      </c>
      <c r="K118" s="12">
        <v>43449</v>
      </c>
    </row>
    <row r="119" spans="1:11" x14ac:dyDescent="0.25">
      <c r="A119" t="s">
        <v>3</v>
      </c>
      <c r="B119" t="s">
        <v>8</v>
      </c>
      <c r="C119" t="s">
        <v>12</v>
      </c>
      <c r="D119" t="s">
        <v>138</v>
      </c>
      <c r="E119" t="s">
        <v>60</v>
      </c>
      <c r="F119" s="1">
        <v>0.5</v>
      </c>
      <c r="G119" s="1" t="s">
        <v>125</v>
      </c>
      <c r="H119" t="s">
        <v>110</v>
      </c>
      <c r="I119" t="s">
        <v>17</v>
      </c>
      <c r="J119" t="s">
        <v>199</v>
      </c>
      <c r="K119" s="12">
        <v>43449</v>
      </c>
    </row>
    <row r="120" spans="1:11" x14ac:dyDescent="0.25">
      <c r="A120" t="s">
        <v>3</v>
      </c>
      <c r="B120" t="s">
        <v>8</v>
      </c>
      <c r="C120" t="s">
        <v>12</v>
      </c>
      <c r="D120" t="s">
        <v>139</v>
      </c>
      <c r="E120" t="s">
        <v>150</v>
      </c>
      <c r="I120" t="s">
        <v>17</v>
      </c>
      <c r="J120" t="s">
        <v>199</v>
      </c>
      <c r="K120" s="12">
        <v>43449</v>
      </c>
    </row>
    <row r="121" spans="1:11" x14ac:dyDescent="0.25">
      <c r="E121" t="s">
        <v>119</v>
      </c>
      <c r="F121">
        <v>-100</v>
      </c>
      <c r="G121" t="s">
        <v>227</v>
      </c>
      <c r="H121" t="s">
        <v>110</v>
      </c>
      <c r="I121" t="s">
        <v>17</v>
      </c>
      <c r="J121" t="s">
        <v>199</v>
      </c>
      <c r="K121" s="12">
        <v>43449</v>
      </c>
    </row>
    <row r="122" spans="1:11" x14ac:dyDescent="0.25">
      <c r="E122" t="s">
        <v>120</v>
      </c>
      <c r="G122" t="s">
        <v>227</v>
      </c>
      <c r="H122" t="s">
        <v>110</v>
      </c>
      <c r="I122" t="s">
        <v>17</v>
      </c>
      <c r="J122" t="s">
        <v>199</v>
      </c>
      <c r="K122" s="12">
        <v>43449</v>
      </c>
    </row>
    <row r="123" spans="1:11" x14ac:dyDescent="0.25">
      <c r="A123" t="s">
        <v>3</v>
      </c>
      <c r="B123" t="s">
        <v>8</v>
      </c>
      <c r="C123" t="s">
        <v>12</v>
      </c>
      <c r="D123" t="s">
        <v>140</v>
      </c>
      <c r="E123" t="s">
        <v>150</v>
      </c>
      <c r="I123" t="s">
        <v>17</v>
      </c>
      <c r="J123" t="s">
        <v>199</v>
      </c>
      <c r="K123" s="12">
        <v>43449</v>
      </c>
    </row>
    <row r="124" spans="1:11" x14ac:dyDescent="0.25">
      <c r="E124" t="s">
        <v>119</v>
      </c>
      <c r="G124" t="s">
        <v>227</v>
      </c>
      <c r="H124" t="s">
        <v>110</v>
      </c>
      <c r="I124" t="s">
        <v>17</v>
      </c>
      <c r="J124" t="s">
        <v>199</v>
      </c>
      <c r="K124" s="12">
        <v>43449</v>
      </c>
    </row>
    <row r="125" spans="1:11" x14ac:dyDescent="0.25">
      <c r="E125" t="s">
        <v>120</v>
      </c>
      <c r="F125">
        <v>-200</v>
      </c>
      <c r="G125" t="s">
        <v>227</v>
      </c>
      <c r="H125" t="s">
        <v>110</v>
      </c>
      <c r="I125" t="s">
        <v>17</v>
      </c>
      <c r="J125" t="s">
        <v>199</v>
      </c>
      <c r="K125" s="12">
        <v>43449</v>
      </c>
    </row>
    <row r="126" spans="1:11" x14ac:dyDescent="0.25">
      <c r="A126" t="s">
        <v>3</v>
      </c>
      <c r="B126" t="s">
        <v>8</v>
      </c>
      <c r="C126" t="s">
        <v>12</v>
      </c>
      <c r="D126" t="s">
        <v>187</v>
      </c>
      <c r="E126" t="s">
        <v>150</v>
      </c>
      <c r="I126" t="s">
        <v>17</v>
      </c>
      <c r="J126" t="s">
        <v>199</v>
      </c>
      <c r="K126" s="12">
        <v>43449</v>
      </c>
    </row>
    <row r="127" spans="1:11" x14ac:dyDescent="0.25">
      <c r="E127" t="s">
        <v>121</v>
      </c>
      <c r="F127">
        <v>200</v>
      </c>
      <c r="G127" t="s">
        <v>227</v>
      </c>
      <c r="H127" t="s">
        <v>110</v>
      </c>
      <c r="I127" t="s">
        <v>17</v>
      </c>
      <c r="J127" t="s">
        <v>199</v>
      </c>
      <c r="K127" s="12">
        <v>43449</v>
      </c>
    </row>
    <row r="128" spans="1:11" x14ac:dyDescent="0.25">
      <c r="E128" t="s">
        <v>49</v>
      </c>
      <c r="G128" t="s">
        <v>227</v>
      </c>
      <c r="H128" t="s">
        <v>110</v>
      </c>
      <c r="I128" t="s">
        <v>17</v>
      </c>
      <c r="J128" t="s">
        <v>199</v>
      </c>
      <c r="K128" s="12">
        <v>43449</v>
      </c>
    </row>
    <row r="129" spans="1:12" x14ac:dyDescent="0.25">
      <c r="E129" t="s">
        <v>122</v>
      </c>
      <c r="F129">
        <v>-400</v>
      </c>
      <c r="G129" t="s">
        <v>227</v>
      </c>
      <c r="H129" t="s">
        <v>110</v>
      </c>
      <c r="I129" t="s">
        <v>17</v>
      </c>
      <c r="J129" t="s">
        <v>199</v>
      </c>
      <c r="K129" s="12">
        <v>43449</v>
      </c>
    </row>
    <row r="130" spans="1:12" x14ac:dyDescent="0.25">
      <c r="A130" t="s">
        <v>3</v>
      </c>
      <c r="B130" t="s">
        <v>8</v>
      </c>
      <c r="C130" t="s">
        <v>12</v>
      </c>
      <c r="D130" t="s">
        <v>281</v>
      </c>
      <c r="F130">
        <v>40</v>
      </c>
      <c r="G130" t="s">
        <v>227</v>
      </c>
      <c r="H130" t="s">
        <v>110</v>
      </c>
      <c r="I130" t="s">
        <v>17</v>
      </c>
      <c r="J130" t="s">
        <v>199</v>
      </c>
      <c r="K130" s="12">
        <v>43467</v>
      </c>
    </row>
    <row r="131" spans="1:12" x14ac:dyDescent="0.25">
      <c r="A131" t="s">
        <v>3</v>
      </c>
      <c r="B131" t="s">
        <v>8</v>
      </c>
      <c r="C131" t="s">
        <v>13</v>
      </c>
      <c r="D131" t="s">
        <v>141</v>
      </c>
      <c r="E131" t="s">
        <v>150</v>
      </c>
      <c r="I131" t="s">
        <v>17</v>
      </c>
      <c r="J131" t="s">
        <v>199</v>
      </c>
      <c r="K131" s="12">
        <v>43449</v>
      </c>
    </row>
    <row r="132" spans="1:12" x14ac:dyDescent="0.25">
      <c r="E132" t="s">
        <v>119</v>
      </c>
      <c r="F132">
        <v>0.9</v>
      </c>
      <c r="G132" t="s">
        <v>227</v>
      </c>
      <c r="H132" t="s">
        <v>110</v>
      </c>
      <c r="I132" t="s">
        <v>17</v>
      </c>
      <c r="J132" t="s">
        <v>199</v>
      </c>
      <c r="K132" s="12">
        <v>43449</v>
      </c>
    </row>
    <row r="133" spans="1:12" x14ac:dyDescent="0.25">
      <c r="E133" t="s">
        <v>120</v>
      </c>
      <c r="F133">
        <v>1</v>
      </c>
      <c r="G133" t="s">
        <v>227</v>
      </c>
      <c r="H133" t="s">
        <v>110</v>
      </c>
      <c r="I133" t="s">
        <v>17</v>
      </c>
      <c r="J133" t="s">
        <v>199</v>
      </c>
      <c r="K133" s="12">
        <v>43449</v>
      </c>
    </row>
    <row r="134" spans="1:12" x14ac:dyDescent="0.25">
      <c r="A134" t="s">
        <v>3</v>
      </c>
      <c r="B134" t="s">
        <v>8</v>
      </c>
      <c r="C134" t="s">
        <v>13</v>
      </c>
      <c r="D134" t="s">
        <v>142</v>
      </c>
      <c r="E134" t="s">
        <v>60</v>
      </c>
      <c r="F134">
        <v>-200</v>
      </c>
      <c r="G134" t="s">
        <v>227</v>
      </c>
      <c r="H134" t="s">
        <v>110</v>
      </c>
      <c r="I134" t="s">
        <v>17</v>
      </c>
      <c r="J134" t="s">
        <v>199</v>
      </c>
      <c r="K134" s="12">
        <v>43449</v>
      </c>
    </row>
    <row r="135" spans="1:12" x14ac:dyDescent="0.25">
      <c r="A135" t="s">
        <v>3</v>
      </c>
      <c r="B135" t="s">
        <v>8</v>
      </c>
      <c r="C135" t="s">
        <v>14</v>
      </c>
      <c r="D135" t="s">
        <v>250</v>
      </c>
      <c r="E135" t="s">
        <v>150</v>
      </c>
      <c r="I135" t="s">
        <v>17</v>
      </c>
      <c r="J135" t="s">
        <v>199</v>
      </c>
      <c r="K135" s="12">
        <v>43449</v>
      </c>
    </row>
    <row r="136" spans="1:12" x14ac:dyDescent="0.25">
      <c r="E136" t="s">
        <v>123</v>
      </c>
      <c r="F136">
        <v>-100</v>
      </c>
      <c r="G136" t="s">
        <v>227</v>
      </c>
      <c r="H136" t="s">
        <v>110</v>
      </c>
      <c r="I136" t="s">
        <v>17</v>
      </c>
      <c r="J136" t="s">
        <v>199</v>
      </c>
      <c r="K136" s="12">
        <v>43449</v>
      </c>
    </row>
    <row r="137" spans="1:12" x14ac:dyDescent="0.25">
      <c r="E137" t="s">
        <v>49</v>
      </c>
      <c r="G137" t="s">
        <v>227</v>
      </c>
      <c r="H137" t="s">
        <v>110</v>
      </c>
      <c r="I137" t="s">
        <v>17</v>
      </c>
      <c r="J137" t="s">
        <v>199</v>
      </c>
      <c r="K137" s="12">
        <v>43449</v>
      </c>
    </row>
    <row r="138" spans="1:12" x14ac:dyDescent="0.25">
      <c r="E138" t="s">
        <v>124</v>
      </c>
      <c r="F138">
        <v>100</v>
      </c>
      <c r="G138" t="s">
        <v>227</v>
      </c>
      <c r="H138" t="s">
        <v>110</v>
      </c>
      <c r="I138" t="s">
        <v>17</v>
      </c>
      <c r="J138" t="s">
        <v>199</v>
      </c>
      <c r="K138" s="12">
        <v>43449</v>
      </c>
    </row>
    <row r="139" spans="1:12" x14ac:dyDescent="0.25">
      <c r="A139" t="s">
        <v>3</v>
      </c>
      <c r="B139" t="s">
        <v>8</v>
      </c>
      <c r="C139" t="s">
        <v>14</v>
      </c>
      <c r="D139" t="s">
        <v>143</v>
      </c>
      <c r="E139" t="s">
        <v>150</v>
      </c>
      <c r="I139" t="s">
        <v>17</v>
      </c>
      <c r="J139" t="s">
        <v>199</v>
      </c>
      <c r="K139" s="12">
        <v>43449</v>
      </c>
    </row>
    <row r="140" spans="1:12" x14ac:dyDescent="0.25">
      <c r="E140" t="s">
        <v>49</v>
      </c>
      <c r="G140" t="s">
        <v>227</v>
      </c>
      <c r="H140" t="s">
        <v>110</v>
      </c>
      <c r="I140" t="s">
        <v>17</v>
      </c>
      <c r="J140" t="s">
        <v>199</v>
      </c>
      <c r="K140" s="12">
        <v>43449</v>
      </c>
    </row>
    <row r="141" spans="1:12" x14ac:dyDescent="0.25">
      <c r="E141" t="s">
        <v>124</v>
      </c>
      <c r="F141">
        <v>50</v>
      </c>
      <c r="G141" t="s">
        <v>227</v>
      </c>
      <c r="H141" t="s">
        <v>110</v>
      </c>
      <c r="I141" t="s">
        <v>17</v>
      </c>
      <c r="J141" t="s">
        <v>199</v>
      </c>
      <c r="K141" s="12">
        <v>43449</v>
      </c>
    </row>
    <row r="142" spans="1:12" x14ac:dyDescent="0.25">
      <c r="A142" t="s">
        <v>3</v>
      </c>
      <c r="B142" t="s">
        <v>15</v>
      </c>
      <c r="C142" t="s">
        <v>15</v>
      </c>
      <c r="D142" t="s">
        <v>315</v>
      </c>
      <c r="E142" t="s">
        <v>261</v>
      </c>
      <c r="H142" t="s">
        <v>314</v>
      </c>
      <c r="I142" t="s">
        <v>17</v>
      </c>
      <c r="J142" t="s">
        <v>199</v>
      </c>
      <c r="K142" s="12">
        <v>43467</v>
      </c>
    </row>
    <row r="143" spans="1:12" x14ac:dyDescent="0.25">
      <c r="E143" t="s">
        <v>270</v>
      </c>
      <c r="K143" s="12">
        <v>43467</v>
      </c>
      <c r="L143" t="s">
        <v>271</v>
      </c>
    </row>
    <row r="144" spans="1:12" x14ac:dyDescent="0.25">
      <c r="A144" t="s">
        <v>3</v>
      </c>
      <c r="B144" t="s">
        <v>15</v>
      </c>
      <c r="C144" t="s">
        <v>15</v>
      </c>
      <c r="D144" t="s">
        <v>285</v>
      </c>
      <c r="E144" t="s">
        <v>60</v>
      </c>
      <c r="F144">
        <v>0.1</v>
      </c>
      <c r="H144" t="s">
        <v>283</v>
      </c>
      <c r="I144" t="s">
        <v>63</v>
      </c>
      <c r="J144" t="s">
        <v>199</v>
      </c>
      <c r="K144" s="12">
        <v>43467</v>
      </c>
    </row>
    <row r="145" spans="1:11" x14ac:dyDescent="0.25">
      <c r="A145" t="s">
        <v>3</v>
      </c>
      <c r="B145" t="s">
        <v>15</v>
      </c>
      <c r="C145" t="s">
        <v>15</v>
      </c>
      <c r="D145" t="s">
        <v>286</v>
      </c>
      <c r="E145" t="s">
        <v>60</v>
      </c>
      <c r="F145">
        <v>1</v>
      </c>
      <c r="H145" t="s">
        <v>282</v>
      </c>
      <c r="I145" t="s">
        <v>63</v>
      </c>
      <c r="J145" t="s">
        <v>199</v>
      </c>
      <c r="K145" s="12">
        <v>43467</v>
      </c>
    </row>
    <row r="146" spans="1:11" x14ac:dyDescent="0.25">
      <c r="A146" t="s">
        <v>3</v>
      </c>
      <c r="B146" t="s">
        <v>15</v>
      </c>
      <c r="C146" t="s">
        <v>15</v>
      </c>
      <c r="D146" t="s">
        <v>144</v>
      </c>
      <c r="E146" t="s">
        <v>60</v>
      </c>
      <c r="F146">
        <v>0.4</v>
      </c>
      <c r="H146" t="s">
        <v>284</v>
      </c>
      <c r="I146" t="s">
        <v>63</v>
      </c>
      <c r="J146" t="s">
        <v>199</v>
      </c>
      <c r="K146" s="12">
        <v>43467</v>
      </c>
    </row>
    <row r="151" spans="1:11" x14ac:dyDescent="0.25">
      <c r="A151" t="s">
        <v>251</v>
      </c>
    </row>
    <row r="153" spans="1:11" x14ac:dyDescent="0.25">
      <c r="A153" t="s">
        <v>69</v>
      </c>
    </row>
    <row r="154" spans="1:11" x14ac:dyDescent="0.25">
      <c r="B154" t="s">
        <v>85</v>
      </c>
      <c r="C154" t="s">
        <v>86</v>
      </c>
      <c r="D154" t="s">
        <v>70</v>
      </c>
      <c r="E154" t="s">
        <v>88</v>
      </c>
      <c r="F154" t="s">
        <v>89</v>
      </c>
      <c r="G154" t="s">
        <v>90</v>
      </c>
      <c r="H154" t="s">
        <v>99</v>
      </c>
      <c r="I154" t="s">
        <v>11</v>
      </c>
    </row>
    <row r="155" spans="1:11" x14ac:dyDescent="0.25">
      <c r="A155" t="s">
        <v>71</v>
      </c>
      <c r="B155">
        <v>60</v>
      </c>
      <c r="C155">
        <v>235</v>
      </c>
      <c r="D155" t="s">
        <v>72</v>
      </c>
      <c r="I155" t="s">
        <v>87</v>
      </c>
    </row>
    <row r="156" spans="1:11" x14ac:dyDescent="0.25">
      <c r="A156" t="s">
        <v>73</v>
      </c>
      <c r="B156">
        <v>270</v>
      </c>
      <c r="C156">
        <v>1100</v>
      </c>
      <c r="D156" t="s">
        <v>74</v>
      </c>
      <c r="I156" t="s">
        <v>91</v>
      </c>
    </row>
    <row r="157" spans="1:11" x14ac:dyDescent="0.25">
      <c r="A157" t="s">
        <v>75</v>
      </c>
      <c r="B157">
        <v>120</v>
      </c>
      <c r="C157">
        <v>500</v>
      </c>
      <c r="D157" t="s">
        <v>76</v>
      </c>
      <c r="I157" t="s">
        <v>92</v>
      </c>
    </row>
    <row r="158" spans="1:11" x14ac:dyDescent="0.25">
      <c r="A158" t="s">
        <v>77</v>
      </c>
      <c r="B158">
        <v>36</v>
      </c>
      <c r="C158">
        <v>157</v>
      </c>
      <c r="D158" t="s">
        <v>78</v>
      </c>
      <c r="I158" t="s">
        <v>93</v>
      </c>
    </row>
    <row r="159" spans="1:11" x14ac:dyDescent="0.25">
      <c r="A159" t="s">
        <v>79</v>
      </c>
      <c r="B159">
        <v>65</v>
      </c>
      <c r="C159">
        <v>291</v>
      </c>
      <c r="D159" t="s">
        <v>80</v>
      </c>
      <c r="I159" t="s">
        <v>94</v>
      </c>
    </row>
    <row r="160" spans="1:11" x14ac:dyDescent="0.25">
      <c r="A160" t="s">
        <v>81</v>
      </c>
      <c r="B160">
        <v>340</v>
      </c>
      <c r="C160">
        <v>1180</v>
      </c>
      <c r="D160">
        <v>67</v>
      </c>
      <c r="E160" s="2">
        <v>0.25</v>
      </c>
      <c r="F160" s="5">
        <f>(C160*1000000)/(B160*1000)</f>
        <v>3470.5882352941176</v>
      </c>
      <c r="G160" s="5">
        <f>E160*F160</f>
        <v>867.64705882352939</v>
      </c>
      <c r="H160" s="5">
        <f>G160*0.8</f>
        <v>694.11764705882354</v>
      </c>
      <c r="I160" t="s">
        <v>95</v>
      </c>
    </row>
    <row r="161" spans="1:9" x14ac:dyDescent="0.25">
      <c r="A161" t="s">
        <v>82</v>
      </c>
      <c r="B161">
        <v>180</v>
      </c>
      <c r="C161">
        <v>610</v>
      </c>
      <c r="D161">
        <v>65</v>
      </c>
      <c r="E161" s="2">
        <v>0.68</v>
      </c>
      <c r="F161" s="5">
        <f t="shared" ref="F161:F163" si="0">(C161*1000000)/(B161*1000)</f>
        <v>3388.8888888888887</v>
      </c>
      <c r="G161" s="5">
        <f t="shared" ref="G161:G163" si="1">E161*F161</f>
        <v>2304.4444444444443</v>
      </c>
      <c r="H161" s="5">
        <f t="shared" ref="H161:H163" si="2">G161*0.8</f>
        <v>1843.5555555555557</v>
      </c>
      <c r="I161" t="s">
        <v>96</v>
      </c>
    </row>
    <row r="162" spans="1:9" x14ac:dyDescent="0.25">
      <c r="A162" t="s">
        <v>83</v>
      </c>
      <c r="B162">
        <v>430</v>
      </c>
      <c r="C162">
        <v>1610</v>
      </c>
      <c r="D162">
        <v>72</v>
      </c>
      <c r="E162" s="2">
        <v>0.3</v>
      </c>
      <c r="F162" s="5">
        <f t="shared" si="0"/>
        <v>3744.1860465116279</v>
      </c>
      <c r="G162" s="5">
        <f t="shared" si="1"/>
        <v>1123.2558139534883</v>
      </c>
      <c r="H162" s="5">
        <f t="shared" si="2"/>
        <v>898.60465116279067</v>
      </c>
      <c r="I162" t="s">
        <v>97</v>
      </c>
    </row>
    <row r="163" spans="1:9" x14ac:dyDescent="0.25">
      <c r="A163" t="s">
        <v>84</v>
      </c>
      <c r="B163">
        <v>180</v>
      </c>
      <c r="C163">
        <v>659</v>
      </c>
      <c r="D163">
        <v>69</v>
      </c>
      <c r="E163" s="2">
        <v>0.3</v>
      </c>
      <c r="F163" s="5">
        <f t="shared" si="0"/>
        <v>3661.1111111111113</v>
      </c>
      <c r="G163" s="5">
        <f t="shared" si="1"/>
        <v>1098.3333333333333</v>
      </c>
      <c r="H163" s="5">
        <f t="shared" si="2"/>
        <v>878.66666666666663</v>
      </c>
      <c r="I163" t="s">
        <v>98</v>
      </c>
    </row>
    <row r="167" spans="1:9" x14ac:dyDescent="0.25">
      <c r="A167" t="s">
        <v>22</v>
      </c>
    </row>
    <row r="168" spans="1:9" x14ac:dyDescent="0.25">
      <c r="B168" t="s">
        <v>23</v>
      </c>
      <c r="D168" t="s">
        <v>24</v>
      </c>
      <c r="E168" t="s">
        <v>109</v>
      </c>
      <c r="F168" t="s">
        <v>26</v>
      </c>
      <c r="H168" t="s">
        <v>4</v>
      </c>
      <c r="I168" t="s">
        <v>11</v>
      </c>
    </row>
    <row r="169" spans="1:9" x14ac:dyDescent="0.25">
      <c r="B169" t="s">
        <v>27</v>
      </c>
      <c r="D169">
        <v>0.5</v>
      </c>
      <c r="E169" s="1">
        <v>2.5</v>
      </c>
      <c r="F169" s="7">
        <f>D169/E169</f>
        <v>0.2</v>
      </c>
      <c r="I169" t="s">
        <v>46</v>
      </c>
    </row>
    <row r="170" spans="1:9" x14ac:dyDescent="0.25">
      <c r="B170" t="s">
        <v>28</v>
      </c>
      <c r="D170">
        <v>0.8</v>
      </c>
      <c r="E170">
        <v>5</v>
      </c>
      <c r="F170" s="2">
        <f t="shared" ref="F170:F180" si="3">D170/E170</f>
        <v>0.16</v>
      </c>
      <c r="G170" s="2"/>
      <c r="I170" t="s">
        <v>46</v>
      </c>
    </row>
    <row r="171" spans="1:9" x14ac:dyDescent="0.25">
      <c r="B171" t="s">
        <v>29</v>
      </c>
      <c r="D171">
        <v>3.2</v>
      </c>
      <c r="E171">
        <v>17.5</v>
      </c>
      <c r="F171" s="2">
        <f t="shared" si="3"/>
        <v>0.18285714285714286</v>
      </c>
      <c r="G171" s="2"/>
      <c r="I171" t="s">
        <v>46</v>
      </c>
    </row>
    <row r="172" spans="1:9" x14ac:dyDescent="0.25">
      <c r="B172" t="s">
        <v>30</v>
      </c>
      <c r="D172">
        <v>3.2</v>
      </c>
      <c r="E172">
        <v>14</v>
      </c>
      <c r="F172" s="2">
        <f t="shared" si="3"/>
        <v>0.22857142857142859</v>
      </c>
      <c r="G172" s="2"/>
      <c r="I172" t="s">
        <v>46</v>
      </c>
    </row>
    <row r="173" spans="1:9" x14ac:dyDescent="0.25">
      <c r="B173" t="s">
        <v>31</v>
      </c>
      <c r="D173">
        <v>4</v>
      </c>
      <c r="E173">
        <v>16</v>
      </c>
      <c r="F173" s="2">
        <f t="shared" si="3"/>
        <v>0.25</v>
      </c>
      <c r="G173" s="2"/>
      <c r="I173" t="s">
        <v>46</v>
      </c>
    </row>
    <row r="174" spans="1:9" x14ac:dyDescent="0.25">
      <c r="B174" t="s">
        <v>32</v>
      </c>
      <c r="D174">
        <v>5</v>
      </c>
      <c r="E174">
        <v>20</v>
      </c>
      <c r="F174" s="2">
        <f t="shared" si="3"/>
        <v>0.25</v>
      </c>
      <c r="G174" s="2"/>
      <c r="I174" t="s">
        <v>46</v>
      </c>
    </row>
    <row r="175" spans="1:9" x14ac:dyDescent="0.25">
      <c r="B175" t="s">
        <v>33</v>
      </c>
      <c r="D175">
        <v>5.8</v>
      </c>
      <c r="E175">
        <v>22</v>
      </c>
      <c r="F175" s="2">
        <f t="shared" si="3"/>
        <v>0.26363636363636361</v>
      </c>
      <c r="G175" s="2"/>
      <c r="I175" t="s">
        <v>46</v>
      </c>
    </row>
    <row r="176" spans="1:9" x14ac:dyDescent="0.25">
      <c r="B176" t="s">
        <v>34</v>
      </c>
      <c r="D176">
        <v>6.4</v>
      </c>
      <c r="E176">
        <v>22.5</v>
      </c>
      <c r="F176" s="2">
        <f t="shared" si="3"/>
        <v>0.28444444444444444</v>
      </c>
      <c r="G176" s="2"/>
      <c r="I176" t="s">
        <v>46</v>
      </c>
    </row>
    <row r="177" spans="1:9" x14ac:dyDescent="0.25">
      <c r="B177" t="s">
        <v>35</v>
      </c>
      <c r="D177">
        <v>6.5</v>
      </c>
      <c r="E177">
        <v>23</v>
      </c>
      <c r="F177" s="2">
        <f t="shared" si="3"/>
        <v>0.28260869565217389</v>
      </c>
      <c r="G177" s="2"/>
      <c r="I177" t="s">
        <v>46</v>
      </c>
    </row>
    <row r="178" spans="1:9" x14ac:dyDescent="0.25">
      <c r="B178" t="s">
        <v>36</v>
      </c>
      <c r="D178">
        <v>6.5</v>
      </c>
      <c r="E178">
        <v>23</v>
      </c>
      <c r="F178" s="2">
        <f t="shared" si="3"/>
        <v>0.28260869565217389</v>
      </c>
      <c r="G178" s="2"/>
      <c r="I178" t="s">
        <v>46</v>
      </c>
    </row>
    <row r="179" spans="1:9" x14ac:dyDescent="0.25">
      <c r="B179" t="s">
        <v>37</v>
      </c>
      <c r="D179">
        <v>11</v>
      </c>
      <c r="E179">
        <v>44</v>
      </c>
      <c r="F179" s="2">
        <f t="shared" si="3"/>
        <v>0.25</v>
      </c>
      <c r="G179" s="2"/>
      <c r="I179" t="s">
        <v>46</v>
      </c>
    </row>
    <row r="180" spans="1:9" x14ac:dyDescent="0.25">
      <c r="B180" t="s">
        <v>38</v>
      </c>
      <c r="D180">
        <v>12.2</v>
      </c>
      <c r="E180">
        <v>48</v>
      </c>
      <c r="F180" s="2">
        <f t="shared" si="3"/>
        <v>0.25416666666666665</v>
      </c>
      <c r="G180" s="2"/>
      <c r="I180" t="s">
        <v>46</v>
      </c>
    </row>
    <row r="181" spans="1:9" x14ac:dyDescent="0.25">
      <c r="B181" t="s">
        <v>252</v>
      </c>
      <c r="F181" s="2">
        <f>AVERAGE(F171:F180)</f>
        <v>0.2528893437480394</v>
      </c>
    </row>
    <row r="182" spans="1:9" x14ac:dyDescent="0.25">
      <c r="B182" t="s">
        <v>105</v>
      </c>
      <c r="F182" s="2">
        <f>AVERAGE(F169:F181)</f>
        <v>0.24167559855603332</v>
      </c>
    </row>
    <row r="183" spans="1:9" x14ac:dyDescent="0.25">
      <c r="A183" t="s">
        <v>40</v>
      </c>
    </row>
    <row r="184" spans="1:9" x14ac:dyDescent="0.25">
      <c r="B184" t="s">
        <v>41</v>
      </c>
      <c r="C184" t="s">
        <v>42</v>
      </c>
      <c r="D184" t="s">
        <v>24</v>
      </c>
      <c r="E184" t="s">
        <v>25</v>
      </c>
      <c r="F184" t="s">
        <v>26</v>
      </c>
      <c r="H184" t="s">
        <v>4</v>
      </c>
      <c r="I184" t="s">
        <v>11</v>
      </c>
    </row>
    <row r="185" spans="1:9" x14ac:dyDescent="0.25">
      <c r="B185" t="s">
        <v>43</v>
      </c>
      <c r="C185">
        <v>1100</v>
      </c>
      <c r="D185" s="2">
        <f>C185*0.0001</f>
        <v>0.11</v>
      </c>
      <c r="E185">
        <v>24.5</v>
      </c>
      <c r="F185" s="3">
        <f>D185/E185</f>
        <v>4.489795918367347E-3</v>
      </c>
      <c r="G185" s="3"/>
      <c r="H185" t="s">
        <v>44</v>
      </c>
    </row>
    <row r="186" spans="1:9" x14ac:dyDescent="0.25">
      <c r="B186" t="s">
        <v>253</v>
      </c>
      <c r="C186">
        <v>180</v>
      </c>
      <c r="D186" s="2">
        <f>C186*0.0001</f>
        <v>1.8000000000000002E-2</v>
      </c>
      <c r="E186">
        <v>8.5</v>
      </c>
      <c r="F186" s="3">
        <f>D186/E186</f>
        <v>2.1176470588235297E-3</v>
      </c>
      <c r="G186" s="3"/>
    </row>
    <row r="187" spans="1:9" x14ac:dyDescent="0.25">
      <c r="B187" t="s">
        <v>254</v>
      </c>
      <c r="C187">
        <v>180</v>
      </c>
      <c r="D187" s="2">
        <f>C187*0.0005</f>
        <v>0.09</v>
      </c>
      <c r="E187">
        <v>4.5</v>
      </c>
      <c r="F187" s="3">
        <f>D187/E187</f>
        <v>0.02</v>
      </c>
      <c r="G187" s="3"/>
    </row>
    <row r="188" spans="1:9" x14ac:dyDescent="0.25">
      <c r="B188" t="s">
        <v>255</v>
      </c>
      <c r="C188">
        <v>190</v>
      </c>
      <c r="D188" s="2">
        <f>C188*0.0005</f>
        <v>9.5000000000000001E-2</v>
      </c>
      <c r="E188">
        <v>4.75</v>
      </c>
      <c r="F188" s="3">
        <f>D188/E188</f>
        <v>0.02</v>
      </c>
      <c r="G188" s="3"/>
    </row>
    <row r="189" spans="1:9" x14ac:dyDescent="0.25">
      <c r="B189" t="s">
        <v>39</v>
      </c>
      <c r="D189" s="2">
        <f>F189*E189</f>
        <v>0.34300000000000003</v>
      </c>
      <c r="E189">
        <v>49</v>
      </c>
      <c r="F189">
        <v>7.0000000000000001E-3</v>
      </c>
      <c r="H189" t="s">
        <v>45</v>
      </c>
    </row>
    <row r="190" spans="1:9" x14ac:dyDescent="0.25">
      <c r="F190" s="3"/>
    </row>
  </sheetData>
  <sheetProtection sheet="1" objects="1" scenarios="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Calculator</vt:lpstr>
      <vt:lpstr>Figures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Dennis</dc:creator>
  <cp:lastModifiedBy>Simon Dennis</cp:lastModifiedBy>
  <dcterms:created xsi:type="dcterms:W3CDTF">2018-08-26T13:49:09Z</dcterms:created>
  <dcterms:modified xsi:type="dcterms:W3CDTF">2019-05-08T17:27:06Z</dcterms:modified>
</cp:coreProperties>
</file>